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S:\Applications\Application Cycle\Application Cycle 2016-2017\01-DreamHouse Application 2016-2017\"/>
    </mc:Choice>
  </mc:AlternateContent>
  <bookViews>
    <workbookView xWindow="0" yWindow="0" windowWidth="23040" windowHeight="9216" tabRatio="935" firstSheet="4" activeTab="10"/>
  </bookViews>
  <sheets>
    <sheet name="A1. BudgetSumm" sheetId="1" r:id="rId1"/>
    <sheet name="A2. Bgt_FuncExp" sheetId="2" r:id="rId2"/>
    <sheet name="Budget Narrative" sheetId="14" state="hidden" r:id="rId3"/>
    <sheet name="A3. Estimated Cash Flow Yr 0" sheetId="3" r:id="rId4"/>
    <sheet name="A3. Estimated Cash Flow Yr 1" sheetId="9" r:id="rId5"/>
    <sheet name="A3. Estimated Cash Flow Yr 2" sheetId="5" r:id="rId6"/>
    <sheet name="A3. Estimated Cash Flow Yr 3" sheetId="6" r:id="rId7"/>
    <sheet name="A4. Balance Sheet" sheetId="7" r:id="rId8"/>
    <sheet name="Cash Paid to Vendors" sheetId="11" r:id="rId9"/>
    <sheet name="Personnel Breakout" sheetId="10" r:id="rId10"/>
    <sheet name="Funding Pool" sheetId="12" r:id="rId11"/>
    <sheet name="Sensitivity Model" sheetId="13" state="hidden" r:id="rId12"/>
  </sheets>
  <externalReferences>
    <externalReference r:id="rId13"/>
  </externalReferences>
  <definedNames>
    <definedName name="D1_" localSheetId="8">'[1]A1. BudgetSumm'!$B$2</definedName>
    <definedName name="D1_" localSheetId="10">'[1]A1. BudgetSumm'!$B$2</definedName>
    <definedName name="D1_" localSheetId="9">'[1]A1. BudgetSumm'!$B$2</definedName>
    <definedName name="D1_" localSheetId="11">'Sensitivity Model'!$B$2</definedName>
    <definedName name="D1_">'A1. BudgetSumm'!$D$3</definedName>
    <definedName name="_xlnm.Print_Area" localSheetId="0">'A1. BudgetSumm'!$B$1:$I$54</definedName>
    <definedName name="_xlnm.Print_Area" localSheetId="1">'A2. Bgt_FuncExp'!$A$1:$L$114</definedName>
    <definedName name="_xlnm.Print_Area" localSheetId="3">'A3. Estimated Cash Flow Yr 0'!$A$1:$P$42</definedName>
    <definedName name="_xlnm.Print_Area" localSheetId="4">'A3. Estimated Cash Flow Yr 1'!$A$1:$P$42</definedName>
    <definedName name="_xlnm.Print_Area" localSheetId="5">'A3. Estimated Cash Flow Yr 2'!$A$1:$P$42</definedName>
    <definedName name="_xlnm.Print_Area" localSheetId="6">'A3. Estimated Cash Flow Yr 3'!$A$1:$P$42</definedName>
    <definedName name="_xlnm.Print_Area" localSheetId="7">'A4. Balance Sheet'!$A$1:$K$63</definedName>
    <definedName name="_xlnm.Print_Area" localSheetId="8">'Cash Paid to Vendors'!$A$1:$I$29</definedName>
    <definedName name="_xlnm.Print_Area" localSheetId="10">'Funding Pool'!$A$1:$M$32</definedName>
    <definedName name="_xlnm.Print_Area" localSheetId="9">'Personnel Breakout'!$A$1:$L$104</definedName>
    <definedName name="_xlnm.Print_Area" localSheetId="11">'Sensitivity Model'!$A$2:$G$25</definedName>
    <definedName name="_xlnm.Print_Titles" localSheetId="1">'A2. Bgt_FuncExp'!$1:$6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12" i="12" l="1"/>
  <c r="F12" i="12"/>
  <c r="E12" i="12"/>
  <c r="D12" i="12"/>
  <c r="I17" i="1"/>
  <c r="E11" i="6"/>
  <c r="I11" i="6"/>
  <c r="P11" i="6"/>
  <c r="D11" i="6"/>
  <c r="P12" i="6"/>
  <c r="D12" i="6"/>
  <c r="F9" i="14"/>
  <c r="K14" i="2"/>
  <c r="K13" i="2"/>
  <c r="G13" i="10"/>
  <c r="H13" i="10"/>
  <c r="K17" i="2"/>
  <c r="K18" i="2"/>
  <c r="K16" i="2"/>
  <c r="K10" i="2"/>
  <c r="K9" i="2"/>
  <c r="K21" i="2"/>
  <c r="K19" i="2"/>
  <c r="K22" i="2"/>
  <c r="K27" i="2"/>
  <c r="K28" i="2"/>
  <c r="K25" i="2"/>
  <c r="K30" i="2"/>
  <c r="K38" i="2"/>
  <c r="K34" i="2"/>
  <c r="K8" i="2"/>
  <c r="I28" i="1"/>
  <c r="G11" i="10"/>
  <c r="H11" i="10"/>
  <c r="G12" i="10"/>
  <c r="H12" i="10"/>
  <c r="K43" i="2"/>
  <c r="K47" i="2"/>
  <c r="K42" i="2"/>
  <c r="G19" i="10"/>
  <c r="H19" i="10"/>
  <c r="G20" i="10"/>
  <c r="H20" i="10"/>
  <c r="G21" i="10"/>
  <c r="H21" i="10"/>
  <c r="G22" i="10"/>
  <c r="H22" i="10"/>
  <c r="G23" i="10"/>
  <c r="H23" i="10"/>
  <c r="H24" i="10"/>
  <c r="H26" i="10"/>
  <c r="H27" i="10"/>
  <c r="H28" i="10"/>
  <c r="H29" i="10"/>
  <c r="H30" i="10"/>
  <c r="H31" i="10"/>
  <c r="H32" i="10"/>
  <c r="H33" i="10"/>
  <c r="H42" i="10"/>
  <c r="K49" i="2"/>
  <c r="K48" i="2"/>
  <c r="K51" i="2"/>
  <c r="K58" i="2"/>
  <c r="K56" i="2"/>
  <c r="K64" i="2"/>
  <c r="K61" i="2"/>
  <c r="K67" i="2"/>
  <c r="K68" i="2"/>
  <c r="K69" i="2"/>
  <c r="K72" i="2"/>
  <c r="K74" i="2"/>
  <c r="K66" i="2"/>
  <c r="K41" i="2"/>
  <c r="I29" i="1"/>
  <c r="K77" i="2"/>
  <c r="I30" i="1"/>
  <c r="K89" i="2"/>
  <c r="K93" i="2"/>
  <c r="K96" i="2"/>
  <c r="K86" i="2"/>
  <c r="I31" i="1"/>
  <c r="K99" i="2"/>
  <c r="I32" i="1"/>
  <c r="K106" i="2"/>
  <c r="I33" i="1"/>
  <c r="I34" i="1"/>
  <c r="F10" i="14"/>
  <c r="F11" i="14"/>
  <c r="E11" i="5"/>
  <c r="I11" i="5"/>
  <c r="P11" i="5"/>
  <c r="D11" i="5"/>
  <c r="P12" i="5"/>
  <c r="D12" i="5"/>
  <c r="E9" i="14"/>
  <c r="I14" i="2"/>
  <c r="I13" i="2"/>
  <c r="I17" i="2"/>
  <c r="I18" i="2"/>
  <c r="I16" i="2"/>
  <c r="I10" i="2"/>
  <c r="I9" i="2"/>
  <c r="I21" i="2"/>
  <c r="I19" i="2"/>
  <c r="I22" i="2"/>
  <c r="I27" i="2"/>
  <c r="I28" i="2"/>
  <c r="I25" i="2"/>
  <c r="I30" i="2"/>
  <c r="I38" i="2"/>
  <c r="I34" i="2"/>
  <c r="I8" i="2"/>
  <c r="H28" i="1"/>
  <c r="I43" i="2"/>
  <c r="I47" i="2"/>
  <c r="I42" i="2"/>
  <c r="G24" i="10"/>
  <c r="G33" i="10"/>
  <c r="I49" i="2"/>
  <c r="I48" i="2"/>
  <c r="I51" i="2"/>
  <c r="I58" i="2"/>
  <c r="I56" i="2"/>
  <c r="I64" i="2"/>
  <c r="I61" i="2"/>
  <c r="I67" i="2"/>
  <c r="I68" i="2"/>
  <c r="I69" i="2"/>
  <c r="I72" i="2"/>
  <c r="I74" i="2"/>
  <c r="I66" i="2"/>
  <c r="I41" i="2"/>
  <c r="H29" i="1"/>
  <c r="I77" i="2"/>
  <c r="H30" i="1"/>
  <c r="I89" i="2"/>
  <c r="I93" i="2"/>
  <c r="I96" i="2"/>
  <c r="I86" i="2"/>
  <c r="H31" i="1"/>
  <c r="I99" i="2"/>
  <c r="H32" i="1"/>
  <c r="I106" i="2"/>
  <c r="H33" i="1"/>
  <c r="H34" i="1"/>
  <c r="E10" i="14"/>
  <c r="E11" i="14"/>
  <c r="E11" i="9"/>
  <c r="I11" i="9"/>
  <c r="P11" i="9"/>
  <c r="D11" i="9"/>
  <c r="P12" i="9"/>
  <c r="D12" i="9"/>
  <c r="D9" i="14"/>
  <c r="G14" i="2"/>
  <c r="G13" i="2"/>
  <c r="G17" i="2"/>
  <c r="G18" i="2"/>
  <c r="G16" i="2"/>
  <c r="G10" i="2"/>
  <c r="G9" i="2"/>
  <c r="G21" i="2"/>
  <c r="G19" i="2"/>
  <c r="G22" i="2"/>
  <c r="G27" i="2"/>
  <c r="G28" i="2"/>
  <c r="G25" i="2"/>
  <c r="G30" i="2"/>
  <c r="G38" i="2"/>
  <c r="G34" i="2"/>
  <c r="G8" i="2"/>
  <c r="G28" i="1"/>
  <c r="G43" i="2"/>
  <c r="G47" i="2"/>
  <c r="G42" i="2"/>
  <c r="F24" i="10"/>
  <c r="G49" i="2"/>
  <c r="G48" i="2"/>
  <c r="G51" i="2"/>
  <c r="G58" i="2"/>
  <c r="G56" i="2"/>
  <c r="G64" i="2"/>
  <c r="G61" i="2"/>
  <c r="G67" i="2"/>
  <c r="G68" i="2"/>
  <c r="G69" i="2"/>
  <c r="G72" i="2"/>
  <c r="G74" i="2"/>
  <c r="G66" i="2"/>
  <c r="G41" i="2"/>
  <c r="G29" i="1"/>
  <c r="G77" i="2"/>
  <c r="G30" i="1"/>
  <c r="G89" i="2"/>
  <c r="G93" i="2"/>
  <c r="G96" i="2"/>
  <c r="G86" i="2"/>
  <c r="G31" i="1"/>
  <c r="G99" i="2"/>
  <c r="G32" i="1"/>
  <c r="G106" i="2"/>
  <c r="G33" i="1"/>
  <c r="G34" i="1"/>
  <c r="D10" i="14"/>
  <c r="D11" i="14"/>
  <c r="E14" i="2"/>
  <c r="E13" i="2"/>
  <c r="E16" i="2"/>
  <c r="E10" i="2"/>
  <c r="E9" i="2"/>
  <c r="E21" i="2"/>
  <c r="E19" i="2"/>
  <c r="E22" i="2"/>
  <c r="E27" i="2"/>
  <c r="E28" i="2"/>
  <c r="E25" i="2"/>
  <c r="E30" i="2"/>
  <c r="E38" i="2"/>
  <c r="E34" i="2"/>
  <c r="E8" i="2"/>
  <c r="F28" i="1"/>
  <c r="E47" i="2"/>
  <c r="E42" i="2"/>
  <c r="E48" i="2"/>
  <c r="E51" i="2"/>
  <c r="E58" i="2"/>
  <c r="E56" i="2"/>
  <c r="E64" i="2"/>
  <c r="E61" i="2"/>
  <c r="E67" i="2"/>
  <c r="E68" i="2"/>
  <c r="E69" i="2"/>
  <c r="E72" i="2"/>
  <c r="E74" i="2"/>
  <c r="E66" i="2"/>
  <c r="E41" i="2"/>
  <c r="F29" i="1"/>
  <c r="E77" i="2"/>
  <c r="F30" i="1"/>
  <c r="E89" i="2"/>
  <c r="E93" i="2"/>
  <c r="E96" i="2"/>
  <c r="E86" i="2"/>
  <c r="F31" i="1"/>
  <c r="E99" i="2"/>
  <c r="F32" i="1"/>
  <c r="E106" i="2"/>
  <c r="F33" i="1"/>
  <c r="F34" i="1"/>
  <c r="C10" i="14"/>
  <c r="C11" i="14"/>
  <c r="D16" i="3"/>
  <c r="F18" i="1"/>
  <c r="D16" i="9"/>
  <c r="G18" i="1"/>
  <c r="D16" i="5"/>
  <c r="H18" i="1"/>
  <c r="D14" i="3"/>
  <c r="F22" i="1"/>
  <c r="D14" i="9"/>
  <c r="G22" i="1"/>
  <c r="D14" i="5"/>
  <c r="H22" i="1"/>
  <c r="D14" i="6"/>
  <c r="I22" i="1"/>
  <c r="G18" i="12"/>
  <c r="F18" i="12"/>
  <c r="E18" i="12"/>
  <c r="D18" i="12"/>
  <c r="P18" i="6"/>
  <c r="P19" i="6"/>
  <c r="P21" i="6"/>
  <c r="P20" i="6"/>
  <c r="P22" i="6"/>
  <c r="P23" i="6"/>
  <c r="K110" i="2"/>
  <c r="P24" i="6"/>
  <c r="P25" i="6"/>
  <c r="P30" i="6"/>
  <c r="P37" i="6"/>
  <c r="P39" i="6"/>
  <c r="O18" i="6"/>
  <c r="O19" i="6"/>
  <c r="O21" i="6"/>
  <c r="O20" i="6"/>
  <c r="O22" i="6"/>
  <c r="O23" i="6"/>
  <c r="O24" i="6"/>
  <c r="O25" i="6"/>
  <c r="O30" i="6"/>
  <c r="O37" i="6"/>
  <c r="O39" i="6"/>
  <c r="N18" i="6"/>
  <c r="N19" i="6"/>
  <c r="N21" i="6"/>
  <c r="N20" i="6"/>
  <c r="N22" i="6"/>
  <c r="N23" i="6"/>
  <c r="N24" i="6"/>
  <c r="N25" i="6"/>
  <c r="N30" i="6"/>
  <c r="N37" i="6"/>
  <c r="N39" i="6"/>
  <c r="M18" i="6"/>
  <c r="M19" i="6"/>
  <c r="M21" i="6"/>
  <c r="M20" i="6"/>
  <c r="M22" i="6"/>
  <c r="M23" i="6"/>
  <c r="M24" i="6"/>
  <c r="M25" i="6"/>
  <c r="M30" i="6"/>
  <c r="M37" i="6"/>
  <c r="M39" i="6"/>
  <c r="L18" i="6"/>
  <c r="L19" i="6"/>
  <c r="L21" i="6"/>
  <c r="L20" i="6"/>
  <c r="L22" i="6"/>
  <c r="L23" i="6"/>
  <c r="L24" i="6"/>
  <c r="L25" i="6"/>
  <c r="L30" i="6"/>
  <c r="L37" i="6"/>
  <c r="L39" i="6"/>
  <c r="K18" i="6"/>
  <c r="K19" i="6"/>
  <c r="K21" i="6"/>
  <c r="K20" i="6"/>
  <c r="K22" i="6"/>
  <c r="K23" i="6"/>
  <c r="K24" i="6"/>
  <c r="K25" i="6"/>
  <c r="K30" i="6"/>
  <c r="K37" i="6"/>
  <c r="K39" i="6"/>
  <c r="J18" i="6"/>
  <c r="J19" i="6"/>
  <c r="J21" i="6"/>
  <c r="J20" i="6"/>
  <c r="J22" i="6"/>
  <c r="J23" i="6"/>
  <c r="J24" i="6"/>
  <c r="J25" i="6"/>
  <c r="J30" i="6"/>
  <c r="J37" i="6"/>
  <c r="J39" i="6"/>
  <c r="I18" i="6"/>
  <c r="I19" i="6"/>
  <c r="I21" i="6"/>
  <c r="I20" i="6"/>
  <c r="I22" i="6"/>
  <c r="I23" i="6"/>
  <c r="I24" i="6"/>
  <c r="I25" i="6"/>
  <c r="I30" i="6"/>
  <c r="I37" i="6"/>
  <c r="I39" i="6"/>
  <c r="H18" i="6"/>
  <c r="H19" i="6"/>
  <c r="H21" i="6"/>
  <c r="H20" i="6"/>
  <c r="H22" i="6"/>
  <c r="H23" i="6"/>
  <c r="H24" i="6"/>
  <c r="H25" i="6"/>
  <c r="H30" i="6"/>
  <c r="H37" i="6"/>
  <c r="H39" i="6"/>
  <c r="G18" i="6"/>
  <c r="G19" i="6"/>
  <c r="G21" i="6"/>
  <c r="G20" i="6"/>
  <c r="G22" i="6"/>
  <c r="G23" i="6"/>
  <c r="G24" i="6"/>
  <c r="G25" i="6"/>
  <c r="G30" i="6"/>
  <c r="G37" i="6"/>
  <c r="G39" i="6"/>
  <c r="F18" i="6"/>
  <c r="F19" i="6"/>
  <c r="F21" i="6"/>
  <c r="F20" i="6"/>
  <c r="F22" i="6"/>
  <c r="F23" i="6"/>
  <c r="F24" i="6"/>
  <c r="F25" i="6"/>
  <c r="F30" i="6"/>
  <c r="F37" i="6"/>
  <c r="F39" i="6"/>
  <c r="E18" i="6"/>
  <c r="E19" i="6"/>
  <c r="E21" i="6"/>
  <c r="E20" i="6"/>
  <c r="E22" i="6"/>
  <c r="E23" i="6"/>
  <c r="E24" i="6"/>
  <c r="E25" i="6"/>
  <c r="E30" i="6"/>
  <c r="E37" i="6"/>
  <c r="E39" i="6"/>
  <c r="P18" i="5"/>
  <c r="P19" i="5"/>
  <c r="P21" i="5"/>
  <c r="P20" i="5"/>
  <c r="P22" i="5"/>
  <c r="P23" i="5"/>
  <c r="I110" i="2"/>
  <c r="P24" i="5"/>
  <c r="P25" i="5"/>
  <c r="P30" i="5"/>
  <c r="P37" i="5"/>
  <c r="P39" i="5"/>
  <c r="O18" i="5"/>
  <c r="O19" i="5"/>
  <c r="O21" i="5"/>
  <c r="O20" i="5"/>
  <c r="O22" i="5"/>
  <c r="O23" i="5"/>
  <c r="O24" i="5"/>
  <c r="O25" i="5"/>
  <c r="O30" i="5"/>
  <c r="O37" i="5"/>
  <c r="O39" i="5"/>
  <c r="N18" i="5"/>
  <c r="N19" i="5"/>
  <c r="N21" i="5"/>
  <c r="N20" i="5"/>
  <c r="N22" i="5"/>
  <c r="N23" i="5"/>
  <c r="N24" i="5"/>
  <c r="N25" i="5"/>
  <c r="N30" i="5"/>
  <c r="N37" i="5"/>
  <c r="N39" i="5"/>
  <c r="M18" i="5"/>
  <c r="M19" i="5"/>
  <c r="M21" i="5"/>
  <c r="M20" i="5"/>
  <c r="M22" i="5"/>
  <c r="M23" i="5"/>
  <c r="M24" i="5"/>
  <c r="M25" i="5"/>
  <c r="M30" i="5"/>
  <c r="M37" i="5"/>
  <c r="M39" i="5"/>
  <c r="L18" i="5"/>
  <c r="L19" i="5"/>
  <c r="L21" i="5"/>
  <c r="L20" i="5"/>
  <c r="L22" i="5"/>
  <c r="L23" i="5"/>
  <c r="L24" i="5"/>
  <c r="L25" i="5"/>
  <c r="L30" i="5"/>
  <c r="L37" i="5"/>
  <c r="L39" i="5"/>
  <c r="K18" i="5"/>
  <c r="K19" i="5"/>
  <c r="K21" i="5"/>
  <c r="K20" i="5"/>
  <c r="K22" i="5"/>
  <c r="K23" i="5"/>
  <c r="K24" i="5"/>
  <c r="K25" i="5"/>
  <c r="K30" i="5"/>
  <c r="K37" i="5"/>
  <c r="K39" i="5"/>
  <c r="J18" i="5"/>
  <c r="J19" i="5"/>
  <c r="J21" i="5"/>
  <c r="J20" i="5"/>
  <c r="J22" i="5"/>
  <c r="J23" i="5"/>
  <c r="J24" i="5"/>
  <c r="J25" i="5"/>
  <c r="J30" i="5"/>
  <c r="J37" i="5"/>
  <c r="J39" i="5"/>
  <c r="I18" i="5"/>
  <c r="I19" i="5"/>
  <c r="I21" i="5"/>
  <c r="I20" i="5"/>
  <c r="I22" i="5"/>
  <c r="I23" i="5"/>
  <c r="I24" i="5"/>
  <c r="I25" i="5"/>
  <c r="I30" i="5"/>
  <c r="I37" i="5"/>
  <c r="I39" i="5"/>
  <c r="H18" i="5"/>
  <c r="H19" i="5"/>
  <c r="H21" i="5"/>
  <c r="H20" i="5"/>
  <c r="H22" i="5"/>
  <c r="H23" i="5"/>
  <c r="H24" i="5"/>
  <c r="H25" i="5"/>
  <c r="H30" i="5"/>
  <c r="H37" i="5"/>
  <c r="H39" i="5"/>
  <c r="G18" i="5"/>
  <c r="G19" i="5"/>
  <c r="G21" i="5"/>
  <c r="G20" i="5"/>
  <c r="G22" i="5"/>
  <c r="G23" i="5"/>
  <c r="G24" i="5"/>
  <c r="G25" i="5"/>
  <c r="G30" i="5"/>
  <c r="G37" i="5"/>
  <c r="G39" i="5"/>
  <c r="F18" i="5"/>
  <c r="F19" i="5"/>
  <c r="F21" i="5"/>
  <c r="F20" i="5"/>
  <c r="F22" i="5"/>
  <c r="F23" i="5"/>
  <c r="F24" i="5"/>
  <c r="F25" i="5"/>
  <c r="F30" i="5"/>
  <c r="F37" i="5"/>
  <c r="F39" i="5"/>
  <c r="E18" i="5"/>
  <c r="E19" i="5"/>
  <c r="E21" i="5"/>
  <c r="E20" i="5"/>
  <c r="E22" i="5"/>
  <c r="E23" i="5"/>
  <c r="E24" i="5"/>
  <c r="E25" i="5"/>
  <c r="E30" i="5"/>
  <c r="E37" i="5"/>
  <c r="E39" i="5"/>
  <c r="P18" i="9"/>
  <c r="P19" i="9"/>
  <c r="P21" i="9"/>
  <c r="P20" i="9"/>
  <c r="P22" i="9"/>
  <c r="P23" i="9"/>
  <c r="G110" i="2"/>
  <c r="P24" i="9"/>
  <c r="P25" i="9"/>
  <c r="P30" i="9"/>
  <c r="P37" i="9"/>
  <c r="P39" i="9"/>
  <c r="O18" i="9"/>
  <c r="O19" i="9"/>
  <c r="O21" i="9"/>
  <c r="O20" i="9"/>
  <c r="O22" i="9"/>
  <c r="O23" i="9"/>
  <c r="O24" i="9"/>
  <c r="O25" i="9"/>
  <c r="O30" i="9"/>
  <c r="O37" i="9"/>
  <c r="O39" i="9"/>
  <c r="N18" i="9"/>
  <c r="N19" i="9"/>
  <c r="N21" i="9"/>
  <c r="N20" i="9"/>
  <c r="N22" i="9"/>
  <c r="N23" i="9"/>
  <c r="N24" i="9"/>
  <c r="N25" i="9"/>
  <c r="N30" i="9"/>
  <c r="N37" i="9"/>
  <c r="N39" i="9"/>
  <c r="M18" i="9"/>
  <c r="M19" i="9"/>
  <c r="M21" i="9"/>
  <c r="M20" i="9"/>
  <c r="M22" i="9"/>
  <c r="M23" i="9"/>
  <c r="M24" i="9"/>
  <c r="M25" i="9"/>
  <c r="M30" i="9"/>
  <c r="M37" i="9"/>
  <c r="M39" i="9"/>
  <c r="L18" i="9"/>
  <c r="L19" i="9"/>
  <c r="L21" i="9"/>
  <c r="L20" i="9"/>
  <c r="L22" i="9"/>
  <c r="L23" i="9"/>
  <c r="L24" i="9"/>
  <c r="L25" i="9"/>
  <c r="L30" i="9"/>
  <c r="L37" i="9"/>
  <c r="L39" i="9"/>
  <c r="K18" i="9"/>
  <c r="K19" i="9"/>
  <c r="K21" i="9"/>
  <c r="K20" i="9"/>
  <c r="K22" i="9"/>
  <c r="K23" i="9"/>
  <c r="K24" i="9"/>
  <c r="K25" i="9"/>
  <c r="K30" i="9"/>
  <c r="K37" i="9"/>
  <c r="K39" i="9"/>
  <c r="J18" i="9"/>
  <c r="J19" i="9"/>
  <c r="J21" i="9"/>
  <c r="J20" i="9"/>
  <c r="J22" i="9"/>
  <c r="J23" i="9"/>
  <c r="J24" i="9"/>
  <c r="J25" i="9"/>
  <c r="J30" i="9"/>
  <c r="J37" i="9"/>
  <c r="J39" i="9"/>
  <c r="I18" i="9"/>
  <c r="I19" i="9"/>
  <c r="I21" i="9"/>
  <c r="I20" i="9"/>
  <c r="I22" i="9"/>
  <c r="I23" i="9"/>
  <c r="I24" i="9"/>
  <c r="I25" i="9"/>
  <c r="I30" i="9"/>
  <c r="I37" i="9"/>
  <c r="I39" i="9"/>
  <c r="H18" i="9"/>
  <c r="H19" i="9"/>
  <c r="H21" i="9"/>
  <c r="H20" i="9"/>
  <c r="H22" i="9"/>
  <c r="H23" i="9"/>
  <c r="H24" i="9"/>
  <c r="H25" i="9"/>
  <c r="H30" i="9"/>
  <c r="H37" i="9"/>
  <c r="H39" i="9"/>
  <c r="G18" i="9"/>
  <c r="G19" i="9"/>
  <c r="G21" i="9"/>
  <c r="G20" i="9"/>
  <c r="G22" i="9"/>
  <c r="G23" i="9"/>
  <c r="G24" i="9"/>
  <c r="G25" i="9"/>
  <c r="G30" i="9"/>
  <c r="G37" i="9"/>
  <c r="G39" i="9"/>
  <c r="F18" i="9"/>
  <c r="F19" i="9"/>
  <c r="F21" i="9"/>
  <c r="F20" i="9"/>
  <c r="F22" i="9"/>
  <c r="F23" i="9"/>
  <c r="F24" i="9"/>
  <c r="F25" i="9"/>
  <c r="F30" i="9"/>
  <c r="F37" i="9"/>
  <c r="F39" i="9"/>
  <c r="E18" i="9"/>
  <c r="E19" i="9"/>
  <c r="E21" i="9"/>
  <c r="E20" i="9"/>
  <c r="E22" i="9"/>
  <c r="E23" i="9"/>
  <c r="E24" i="9"/>
  <c r="E25" i="9"/>
  <c r="E30" i="9"/>
  <c r="E37" i="9"/>
  <c r="E39" i="9"/>
  <c r="P18" i="3"/>
  <c r="P19" i="3"/>
  <c r="P21" i="3"/>
  <c r="P20" i="3"/>
  <c r="P22" i="3"/>
  <c r="P23" i="3"/>
  <c r="E110" i="2"/>
  <c r="P24" i="3"/>
  <c r="P25" i="3"/>
  <c r="P30" i="3"/>
  <c r="P37" i="3"/>
  <c r="P39" i="3"/>
  <c r="O18" i="3"/>
  <c r="O19" i="3"/>
  <c r="O21" i="3"/>
  <c r="O20" i="3"/>
  <c r="O22" i="3"/>
  <c r="O23" i="3"/>
  <c r="O24" i="3"/>
  <c r="O25" i="3"/>
  <c r="O30" i="3"/>
  <c r="O37" i="3"/>
  <c r="O39" i="3"/>
  <c r="N18" i="3"/>
  <c r="N19" i="3"/>
  <c r="N21" i="3"/>
  <c r="N20" i="3"/>
  <c r="N22" i="3"/>
  <c r="N23" i="3"/>
  <c r="N24" i="3"/>
  <c r="N25" i="3"/>
  <c r="N30" i="3"/>
  <c r="N37" i="3"/>
  <c r="N39" i="3"/>
  <c r="M18" i="3"/>
  <c r="M19" i="3"/>
  <c r="M21" i="3"/>
  <c r="M20" i="3"/>
  <c r="M22" i="3"/>
  <c r="M23" i="3"/>
  <c r="M24" i="3"/>
  <c r="M25" i="3"/>
  <c r="M30" i="3"/>
  <c r="M37" i="3"/>
  <c r="M39" i="3"/>
  <c r="L18" i="3"/>
  <c r="L19" i="3"/>
  <c r="L21" i="3"/>
  <c r="L20" i="3"/>
  <c r="L22" i="3"/>
  <c r="L23" i="3"/>
  <c r="L24" i="3"/>
  <c r="L25" i="3"/>
  <c r="L30" i="3"/>
  <c r="L37" i="3"/>
  <c r="L39" i="3"/>
  <c r="K18" i="3"/>
  <c r="K19" i="3"/>
  <c r="K21" i="3"/>
  <c r="K20" i="3"/>
  <c r="K22" i="3"/>
  <c r="K23" i="3"/>
  <c r="K24" i="3"/>
  <c r="K25" i="3"/>
  <c r="K30" i="3"/>
  <c r="K37" i="3"/>
  <c r="K39" i="3"/>
  <c r="J18" i="3"/>
  <c r="J19" i="3"/>
  <c r="J21" i="3"/>
  <c r="J20" i="3"/>
  <c r="J22" i="3"/>
  <c r="J23" i="3"/>
  <c r="J24" i="3"/>
  <c r="J25" i="3"/>
  <c r="J30" i="3"/>
  <c r="J37" i="3"/>
  <c r="J39" i="3"/>
  <c r="I18" i="3"/>
  <c r="I19" i="3"/>
  <c r="I21" i="3"/>
  <c r="I20" i="3"/>
  <c r="I22" i="3"/>
  <c r="I23" i="3"/>
  <c r="I24" i="3"/>
  <c r="I25" i="3"/>
  <c r="I30" i="3"/>
  <c r="I37" i="3"/>
  <c r="I39" i="3"/>
  <c r="H18" i="3"/>
  <c r="H19" i="3"/>
  <c r="H21" i="3"/>
  <c r="H20" i="3"/>
  <c r="H22" i="3"/>
  <c r="H23" i="3"/>
  <c r="H24" i="3"/>
  <c r="H25" i="3"/>
  <c r="H30" i="3"/>
  <c r="H37" i="3"/>
  <c r="H39" i="3"/>
  <c r="G18" i="3"/>
  <c r="G19" i="3"/>
  <c r="G21" i="3"/>
  <c r="G20" i="3"/>
  <c r="G22" i="3"/>
  <c r="G23" i="3"/>
  <c r="G24" i="3"/>
  <c r="G25" i="3"/>
  <c r="G30" i="3"/>
  <c r="G37" i="3"/>
  <c r="G39" i="3"/>
  <c r="F18" i="3"/>
  <c r="F19" i="3"/>
  <c r="F21" i="3"/>
  <c r="F20" i="3"/>
  <c r="F22" i="3"/>
  <c r="F23" i="3"/>
  <c r="F24" i="3"/>
  <c r="F25" i="3"/>
  <c r="F30" i="3"/>
  <c r="F37" i="3"/>
  <c r="F39" i="3"/>
  <c r="E18" i="3"/>
  <c r="E19" i="3"/>
  <c r="E21" i="3"/>
  <c r="E20" i="3"/>
  <c r="E22" i="3"/>
  <c r="E23" i="3"/>
  <c r="E24" i="3"/>
  <c r="E25" i="3"/>
  <c r="E30" i="3"/>
  <c r="E37" i="3"/>
  <c r="E39" i="3"/>
  <c r="E42" i="3"/>
  <c r="F41" i="3"/>
  <c r="F42" i="3"/>
  <c r="G41" i="3"/>
  <c r="G42" i="3"/>
  <c r="H41" i="3"/>
  <c r="H42" i="3"/>
  <c r="I41" i="3"/>
  <c r="I42" i="3"/>
  <c r="J41" i="3"/>
  <c r="J42" i="3"/>
  <c r="K41" i="3"/>
  <c r="K42" i="3"/>
  <c r="L41" i="3"/>
  <c r="L42" i="3"/>
  <c r="M41" i="3"/>
  <c r="M42" i="3"/>
  <c r="N41" i="3"/>
  <c r="N42" i="3"/>
  <c r="O41" i="3"/>
  <c r="O42" i="3"/>
  <c r="P41" i="3"/>
  <c r="P42" i="3"/>
  <c r="E41" i="9"/>
  <c r="E42" i="9"/>
  <c r="F41" i="9"/>
  <c r="F42" i="9"/>
  <c r="G41" i="9"/>
  <c r="G42" i="9"/>
  <c r="H41" i="9"/>
  <c r="H42" i="9"/>
  <c r="I41" i="9"/>
  <c r="I42" i="9"/>
  <c r="J41" i="9"/>
  <c r="J42" i="9"/>
  <c r="K41" i="9"/>
  <c r="K42" i="9"/>
  <c r="L41" i="9"/>
  <c r="L42" i="9"/>
  <c r="M41" i="9"/>
  <c r="M42" i="9"/>
  <c r="N41" i="9"/>
  <c r="N42" i="9"/>
  <c r="O41" i="9"/>
  <c r="O42" i="9"/>
  <c r="P41" i="9"/>
  <c r="P42" i="9"/>
  <c r="E41" i="5"/>
  <c r="E42" i="5"/>
  <c r="F41" i="5"/>
  <c r="F42" i="5"/>
  <c r="G41" i="5"/>
  <c r="G42" i="5"/>
  <c r="H41" i="5"/>
  <c r="H42" i="5"/>
  <c r="I41" i="5"/>
  <c r="I42" i="5"/>
  <c r="J41" i="5"/>
  <c r="J42" i="5"/>
  <c r="K41" i="5"/>
  <c r="K42" i="5"/>
  <c r="L41" i="5"/>
  <c r="L42" i="5"/>
  <c r="M41" i="5"/>
  <c r="M42" i="5"/>
  <c r="N41" i="5"/>
  <c r="N42" i="5"/>
  <c r="O41" i="5"/>
  <c r="O42" i="5"/>
  <c r="P41" i="5"/>
  <c r="P42" i="5"/>
  <c r="E41" i="6"/>
  <c r="E42" i="6"/>
  <c r="F41" i="6"/>
  <c r="F42" i="6"/>
  <c r="G41" i="6"/>
  <c r="G42" i="6"/>
  <c r="H41" i="6"/>
  <c r="H42" i="6"/>
  <c r="I41" i="6"/>
  <c r="I42" i="6"/>
  <c r="J41" i="6"/>
  <c r="J42" i="6"/>
  <c r="K41" i="6"/>
  <c r="K42" i="6"/>
  <c r="L41" i="6"/>
  <c r="L42" i="6"/>
  <c r="M41" i="6"/>
  <c r="M42" i="6"/>
  <c r="N41" i="6"/>
  <c r="N42" i="6"/>
  <c r="O41" i="6"/>
  <c r="O42" i="6"/>
  <c r="P41" i="6"/>
  <c r="P42" i="6"/>
  <c r="I11" i="7"/>
  <c r="I22" i="7"/>
  <c r="I29" i="7"/>
  <c r="I34" i="7"/>
  <c r="I35" i="7"/>
  <c r="I61" i="7"/>
  <c r="H11" i="7"/>
  <c r="H22" i="7"/>
  <c r="H29" i="7"/>
  <c r="H34" i="7"/>
  <c r="H35" i="7"/>
  <c r="H61" i="7"/>
  <c r="G11" i="7"/>
  <c r="G22" i="7"/>
  <c r="G29" i="7"/>
  <c r="G34" i="7"/>
  <c r="G35" i="7"/>
  <c r="G61" i="7"/>
  <c r="F11" i="7"/>
  <c r="F22" i="7"/>
  <c r="F29" i="7"/>
  <c r="F34" i="7"/>
  <c r="F35" i="7"/>
  <c r="F61" i="7"/>
  <c r="J63" i="7"/>
  <c r="J62" i="7"/>
  <c r="J61" i="7"/>
  <c r="J60" i="7"/>
  <c r="J59" i="7"/>
  <c r="J57" i="7"/>
  <c r="J54" i="7"/>
  <c r="J53" i="7"/>
  <c r="J52" i="7"/>
  <c r="J51" i="7"/>
  <c r="J50" i="7"/>
  <c r="J49" i="7"/>
  <c r="J47" i="7"/>
  <c r="J46" i="7"/>
  <c r="J45" i="7"/>
  <c r="J44" i="7"/>
  <c r="J43" i="7"/>
  <c r="J42" i="7"/>
  <c r="J41" i="7"/>
  <c r="J40" i="7"/>
  <c r="J39" i="7"/>
  <c r="J35" i="7"/>
  <c r="J34" i="7"/>
  <c r="J33" i="7"/>
  <c r="J32" i="7"/>
  <c r="J31" i="7"/>
  <c r="J30" i="7"/>
  <c r="J29" i="7"/>
  <c r="J28" i="7"/>
  <c r="J27" i="7"/>
  <c r="J26" i="7"/>
  <c r="J25" i="7"/>
  <c r="J22" i="7"/>
  <c r="J21" i="7"/>
  <c r="J20" i="7"/>
  <c r="J19" i="7"/>
  <c r="J18" i="7"/>
  <c r="J17" i="7"/>
  <c r="J16" i="7"/>
  <c r="J15" i="7"/>
  <c r="J14" i="7"/>
  <c r="J13" i="7"/>
  <c r="J12" i="7"/>
  <c r="J11" i="7"/>
  <c r="I14" i="1"/>
  <c r="I19" i="1"/>
  <c r="H14" i="1"/>
  <c r="H17" i="1"/>
  <c r="H19" i="1"/>
  <c r="G14" i="1"/>
  <c r="G17" i="1"/>
  <c r="G19" i="1"/>
  <c r="I98" i="10"/>
  <c r="J98" i="10"/>
  <c r="L98" i="10"/>
  <c r="I99" i="10"/>
  <c r="J99" i="10"/>
  <c r="L99" i="10"/>
  <c r="I100" i="10"/>
  <c r="J100" i="10"/>
  <c r="L100" i="10"/>
  <c r="I101" i="10"/>
  <c r="J101" i="10"/>
  <c r="L101" i="10"/>
  <c r="I102" i="10"/>
  <c r="J102" i="10"/>
  <c r="L102" i="10"/>
  <c r="L104" i="10"/>
  <c r="E90" i="10"/>
  <c r="F90" i="10"/>
  <c r="G90" i="10"/>
  <c r="H90" i="10"/>
  <c r="I90" i="10"/>
  <c r="J90" i="10"/>
  <c r="L90" i="10"/>
  <c r="E91" i="10"/>
  <c r="F91" i="10"/>
  <c r="G91" i="10"/>
  <c r="H91" i="10"/>
  <c r="I91" i="10"/>
  <c r="J91" i="10"/>
  <c r="L91" i="10"/>
  <c r="E92" i="10"/>
  <c r="F92" i="10"/>
  <c r="G92" i="10"/>
  <c r="H92" i="10"/>
  <c r="I92" i="10"/>
  <c r="J92" i="10"/>
  <c r="L92" i="10"/>
  <c r="L94" i="10"/>
  <c r="H29" i="11"/>
  <c r="I29" i="11"/>
  <c r="G29" i="11"/>
  <c r="G28" i="13"/>
  <c r="F28" i="13"/>
  <c r="E28" i="13"/>
  <c r="D28" i="13"/>
  <c r="F10" i="13"/>
  <c r="F11" i="13"/>
  <c r="F23" i="13"/>
  <c r="E10" i="13"/>
  <c r="E11" i="13"/>
  <c r="E23" i="13"/>
  <c r="D10" i="13"/>
  <c r="D11" i="13"/>
  <c r="D23" i="13"/>
  <c r="G10" i="13"/>
  <c r="G11" i="13"/>
  <c r="G22" i="13"/>
  <c r="F22" i="13"/>
  <c r="E22" i="13"/>
  <c r="G16" i="13"/>
  <c r="G20" i="13"/>
  <c r="F16" i="13"/>
  <c r="F20" i="13"/>
  <c r="E16" i="13"/>
  <c r="E20" i="13"/>
  <c r="D16" i="13"/>
  <c r="D20" i="13"/>
  <c r="G14" i="13"/>
  <c r="F14" i="13"/>
  <c r="E14" i="13"/>
  <c r="D14" i="13"/>
  <c r="J10" i="13"/>
  <c r="H25" i="1"/>
  <c r="H35" i="1"/>
  <c r="H47" i="1"/>
  <c r="H48" i="1"/>
  <c r="H44" i="1"/>
  <c r="H49" i="1"/>
  <c r="H51" i="1"/>
  <c r="G25" i="1"/>
  <c r="G35" i="1"/>
  <c r="G47" i="1"/>
  <c r="G48" i="1"/>
  <c r="G44" i="1"/>
  <c r="G49" i="1"/>
  <c r="G51" i="1"/>
  <c r="F14" i="1"/>
  <c r="F25" i="1"/>
  <c r="F35" i="1"/>
  <c r="F47" i="1"/>
  <c r="F48" i="1"/>
  <c r="F44" i="1"/>
  <c r="F49" i="1"/>
  <c r="F51" i="1"/>
  <c r="F54" i="1"/>
  <c r="G53" i="1"/>
  <c r="G54" i="1"/>
  <c r="H53" i="1"/>
  <c r="H54" i="1"/>
  <c r="I53" i="1"/>
  <c r="B42" i="10"/>
  <c r="B24" i="10"/>
  <c r="B33" i="10"/>
  <c r="I44" i="1"/>
  <c r="I47" i="1"/>
  <c r="I48" i="1"/>
  <c r="I49" i="1"/>
  <c r="I25" i="1"/>
  <c r="I35" i="1"/>
  <c r="I51" i="1"/>
  <c r="F29" i="11"/>
  <c r="I35" i="10"/>
  <c r="J35" i="10"/>
  <c r="K35" i="10"/>
  <c r="L35" i="10"/>
  <c r="I36" i="10"/>
  <c r="J36" i="10"/>
  <c r="K36" i="10"/>
  <c r="L36" i="10"/>
  <c r="I37" i="10"/>
  <c r="J37" i="10"/>
  <c r="K37" i="10"/>
  <c r="L37" i="10"/>
  <c r="I38" i="10"/>
  <c r="J38" i="10"/>
  <c r="K38" i="10"/>
  <c r="L38" i="10"/>
  <c r="I39" i="10"/>
  <c r="J39" i="10"/>
  <c r="K39" i="10"/>
  <c r="L39" i="10"/>
  <c r="I40" i="10"/>
  <c r="J40" i="10"/>
  <c r="K40" i="10"/>
  <c r="L40" i="10"/>
  <c r="I41" i="10"/>
  <c r="J41" i="10"/>
  <c r="K41" i="10"/>
  <c r="L41" i="10"/>
  <c r="L42" i="10"/>
  <c r="I26" i="10"/>
  <c r="J26" i="10"/>
  <c r="K26" i="10"/>
  <c r="L26" i="10"/>
  <c r="I27" i="10"/>
  <c r="J27" i="10"/>
  <c r="K27" i="10"/>
  <c r="L27" i="10"/>
  <c r="I28" i="10"/>
  <c r="J28" i="10"/>
  <c r="K28" i="10"/>
  <c r="L28" i="10"/>
  <c r="I29" i="10"/>
  <c r="J29" i="10"/>
  <c r="K29" i="10"/>
  <c r="L29" i="10"/>
  <c r="I30" i="10"/>
  <c r="J30" i="10"/>
  <c r="K30" i="10"/>
  <c r="L30" i="10"/>
  <c r="I31" i="10"/>
  <c r="J31" i="10"/>
  <c r="K31" i="10"/>
  <c r="L31" i="10"/>
  <c r="I32" i="10"/>
  <c r="J32" i="10"/>
  <c r="K32" i="10"/>
  <c r="L32" i="10"/>
  <c r="L33" i="10"/>
  <c r="I19" i="10"/>
  <c r="J19" i="10"/>
  <c r="K19" i="10"/>
  <c r="L19" i="10"/>
  <c r="I20" i="10"/>
  <c r="J20" i="10"/>
  <c r="K20" i="10"/>
  <c r="L20" i="10"/>
  <c r="I21" i="10"/>
  <c r="J21" i="10"/>
  <c r="K21" i="10"/>
  <c r="L21" i="10"/>
  <c r="I22" i="10"/>
  <c r="J22" i="10"/>
  <c r="K22" i="10"/>
  <c r="L22" i="10"/>
  <c r="I23" i="10"/>
  <c r="J23" i="10"/>
  <c r="K23" i="10"/>
  <c r="L23" i="10"/>
  <c r="L24" i="10"/>
  <c r="J17" i="10"/>
  <c r="K17" i="10"/>
  <c r="L17" i="10"/>
  <c r="J16" i="10"/>
  <c r="K16" i="10"/>
  <c r="L16" i="10"/>
  <c r="I11" i="10"/>
  <c r="J11" i="10"/>
  <c r="K11" i="10"/>
  <c r="L11" i="10"/>
  <c r="I12" i="10"/>
  <c r="J12" i="10"/>
  <c r="K12" i="10"/>
  <c r="L12" i="10"/>
  <c r="I13" i="10"/>
  <c r="J13" i="10"/>
  <c r="K13" i="10"/>
  <c r="L13" i="10"/>
  <c r="L14" i="10"/>
  <c r="L44" i="10"/>
  <c r="L80" i="10"/>
  <c r="J46" i="10"/>
  <c r="K46" i="10"/>
  <c r="L46" i="10"/>
  <c r="J47" i="10"/>
  <c r="K47" i="10"/>
  <c r="L47" i="10"/>
  <c r="J48" i="10"/>
  <c r="K48" i="10"/>
  <c r="L48" i="10"/>
  <c r="J49" i="10"/>
  <c r="K49" i="10"/>
  <c r="L49" i="10"/>
  <c r="J50" i="10"/>
  <c r="K50" i="10"/>
  <c r="L50" i="10"/>
  <c r="J51" i="10"/>
  <c r="K51" i="10"/>
  <c r="L51" i="10"/>
  <c r="J52" i="10"/>
  <c r="K52" i="10"/>
  <c r="L52" i="10"/>
  <c r="K54" i="10"/>
  <c r="L54" i="10"/>
  <c r="K55" i="10"/>
  <c r="L55" i="10"/>
  <c r="K56" i="10"/>
  <c r="L56" i="10"/>
  <c r="K57" i="10"/>
  <c r="L57" i="10"/>
  <c r="K58" i="10"/>
  <c r="L58" i="10"/>
  <c r="K59" i="10"/>
  <c r="L59" i="10"/>
  <c r="K60" i="10"/>
  <c r="L60" i="10"/>
  <c r="L62" i="10"/>
  <c r="L63" i="10"/>
  <c r="L64" i="10"/>
  <c r="L65" i="10"/>
  <c r="L66" i="10"/>
  <c r="L67" i="10"/>
  <c r="L68" i="10"/>
  <c r="L77" i="10"/>
  <c r="L81" i="10"/>
  <c r="L83" i="10"/>
  <c r="K42" i="10"/>
  <c r="K33" i="10"/>
  <c r="K24" i="10"/>
  <c r="K14" i="10"/>
  <c r="K44" i="10"/>
  <c r="K80" i="10"/>
  <c r="K77" i="10"/>
  <c r="K81" i="10"/>
  <c r="K83" i="10"/>
  <c r="J42" i="10"/>
  <c r="J33" i="10"/>
  <c r="J24" i="10"/>
  <c r="J14" i="10"/>
  <c r="J44" i="10"/>
  <c r="J80" i="10"/>
  <c r="J77" i="10"/>
  <c r="J81" i="10"/>
  <c r="J83" i="10"/>
  <c r="I42" i="10"/>
  <c r="I33" i="10"/>
  <c r="I24" i="10"/>
  <c r="I14" i="10"/>
  <c r="I44" i="10"/>
  <c r="I80" i="10"/>
  <c r="I77" i="10"/>
  <c r="I81" i="10"/>
  <c r="I83" i="10"/>
  <c r="H14" i="10"/>
  <c r="H44" i="10"/>
  <c r="H80" i="10"/>
  <c r="H77" i="10"/>
  <c r="H81" i="10"/>
  <c r="H83" i="10"/>
  <c r="G14" i="10"/>
  <c r="G44" i="10"/>
  <c r="G80" i="10"/>
  <c r="G77" i="10"/>
  <c r="G81" i="10"/>
  <c r="G83" i="10"/>
  <c r="F14" i="10"/>
  <c r="F44" i="10"/>
  <c r="F80" i="10"/>
  <c r="F77" i="10"/>
  <c r="F81" i="10"/>
  <c r="F83" i="10"/>
  <c r="E24" i="10"/>
  <c r="E14" i="10"/>
  <c r="E44" i="10"/>
  <c r="E80" i="10"/>
  <c r="E77" i="10"/>
  <c r="E81" i="10"/>
  <c r="E83" i="10"/>
  <c r="E114" i="2"/>
  <c r="O103" i="2"/>
  <c r="D15" i="9"/>
  <c r="D18" i="9"/>
  <c r="D19" i="9"/>
  <c r="D20" i="9"/>
  <c r="D21" i="9"/>
  <c r="D22" i="9"/>
  <c r="D23" i="9"/>
  <c r="D24" i="9"/>
  <c r="D25" i="9"/>
  <c r="D30" i="9"/>
  <c r="D33" i="9"/>
  <c r="D34" i="9"/>
  <c r="D35" i="9"/>
  <c r="D36" i="9"/>
  <c r="D37" i="9"/>
  <c r="D39" i="9"/>
  <c r="D41" i="9"/>
  <c r="D42" i="9"/>
  <c r="A42" i="9"/>
  <c r="R28" i="9"/>
  <c r="R29" i="9"/>
  <c r="R30" i="9"/>
  <c r="R33" i="9"/>
  <c r="R34" i="9"/>
  <c r="R35" i="9"/>
  <c r="R36" i="9"/>
  <c r="R37" i="9"/>
  <c r="R39" i="9"/>
  <c r="R41" i="9"/>
  <c r="A41" i="9"/>
  <c r="A39" i="9"/>
  <c r="A37" i="9"/>
  <c r="A36" i="9"/>
  <c r="A35" i="9"/>
  <c r="A34" i="9"/>
  <c r="A33" i="9"/>
  <c r="A30" i="9"/>
  <c r="D29" i="9"/>
  <c r="A29" i="9"/>
  <c r="D28" i="9"/>
  <c r="A28" i="9"/>
  <c r="A25" i="9"/>
  <c r="A24" i="9"/>
  <c r="A23" i="9"/>
  <c r="A22" i="9"/>
  <c r="A21" i="9"/>
  <c r="A20" i="9"/>
  <c r="A19" i="9"/>
  <c r="A18" i="9"/>
  <c r="A17" i="9"/>
  <c r="A16" i="9"/>
  <c r="A15" i="9"/>
  <c r="A14" i="9"/>
  <c r="A13" i="9"/>
  <c r="A12" i="9"/>
  <c r="A11" i="9"/>
  <c r="D15" i="3"/>
  <c r="A24" i="3"/>
  <c r="A23" i="3"/>
  <c r="A22" i="3"/>
  <c r="A21" i="3"/>
  <c r="A20" i="3"/>
  <c r="A19" i="3"/>
  <c r="I62" i="7"/>
  <c r="H62" i="7"/>
  <c r="G62" i="7"/>
  <c r="I53" i="7"/>
  <c r="H53" i="7"/>
  <c r="G53" i="7"/>
  <c r="I47" i="7"/>
  <c r="I54" i="7"/>
  <c r="I63" i="7"/>
  <c r="H47" i="7"/>
  <c r="G47" i="7"/>
  <c r="F62" i="7"/>
  <c r="F53" i="7"/>
  <c r="F47" i="7"/>
  <c r="F54" i="7"/>
  <c r="F63" i="7"/>
  <c r="H54" i="7"/>
  <c r="H63" i="7"/>
  <c r="G54" i="7"/>
  <c r="G63" i="7"/>
  <c r="I54" i="1"/>
  <c r="A42" i="6"/>
  <c r="D41" i="6"/>
  <c r="D36" i="6"/>
  <c r="D35" i="6"/>
  <c r="D34" i="6"/>
  <c r="D33" i="6"/>
  <c r="D37" i="6"/>
  <c r="D30" i="6"/>
  <c r="D29" i="6"/>
  <c r="R28" i="6"/>
  <c r="R29" i="6"/>
  <c r="D28" i="6"/>
  <c r="A25" i="6"/>
  <c r="D24" i="6"/>
  <c r="A24" i="6"/>
  <c r="D23" i="6"/>
  <c r="A23" i="6"/>
  <c r="D22" i="6"/>
  <c r="A22" i="6"/>
  <c r="D21" i="6"/>
  <c r="A21" i="6"/>
  <c r="D20" i="6"/>
  <c r="A20" i="6"/>
  <c r="D19" i="6"/>
  <c r="A19" i="6"/>
  <c r="D18" i="6"/>
  <c r="A18" i="6"/>
  <c r="A17" i="6"/>
  <c r="D16" i="6"/>
  <c r="A16" i="6"/>
  <c r="D15" i="6"/>
  <c r="A15" i="6"/>
  <c r="A14" i="6"/>
  <c r="A13" i="6"/>
  <c r="A12" i="6"/>
  <c r="A11" i="6"/>
  <c r="A42" i="5"/>
  <c r="D41" i="5"/>
  <c r="D36" i="5"/>
  <c r="D35" i="5"/>
  <c r="D34" i="5"/>
  <c r="D33" i="5"/>
  <c r="D30" i="5"/>
  <c r="D29" i="5"/>
  <c r="R28" i="5"/>
  <c r="R29" i="5"/>
  <c r="D28" i="5"/>
  <c r="A28" i="5"/>
  <c r="A25" i="5"/>
  <c r="D24" i="5"/>
  <c r="A24" i="5"/>
  <c r="D23" i="5"/>
  <c r="A23" i="5"/>
  <c r="D22" i="5"/>
  <c r="A22" i="5"/>
  <c r="D21" i="5"/>
  <c r="A21" i="5"/>
  <c r="D20" i="5"/>
  <c r="A20" i="5"/>
  <c r="D19" i="5"/>
  <c r="A19" i="5"/>
  <c r="D18" i="5"/>
  <c r="A18" i="5"/>
  <c r="A17" i="5"/>
  <c r="A16" i="5"/>
  <c r="D15" i="5"/>
  <c r="A15" i="5"/>
  <c r="A14" i="5"/>
  <c r="A13" i="5"/>
  <c r="A12" i="5"/>
  <c r="A11" i="5"/>
  <c r="J86" i="2"/>
  <c r="J77" i="2"/>
  <c r="J61" i="2"/>
  <c r="J56" i="2"/>
  <c r="J51" i="2"/>
  <c r="J48" i="2"/>
  <c r="J42" i="2"/>
  <c r="J41" i="2"/>
  <c r="J34" i="2"/>
  <c r="J30" i="2"/>
  <c r="J25" i="2"/>
  <c r="J22" i="2"/>
  <c r="J19" i="2"/>
  <c r="J16" i="2"/>
  <c r="J13" i="2"/>
  <c r="H86" i="2"/>
  <c r="H77" i="2"/>
  <c r="H61" i="2"/>
  <c r="H56" i="2"/>
  <c r="H51" i="2"/>
  <c r="H48" i="2"/>
  <c r="H42" i="2"/>
  <c r="H41" i="2"/>
  <c r="H34" i="2"/>
  <c r="H30" i="2"/>
  <c r="H25" i="2"/>
  <c r="H22" i="2"/>
  <c r="H19" i="2"/>
  <c r="H16" i="2"/>
  <c r="H13" i="2"/>
  <c r="H8" i="2"/>
  <c r="F86" i="2"/>
  <c r="F77" i="2"/>
  <c r="F61" i="2"/>
  <c r="F56" i="2"/>
  <c r="F51" i="2"/>
  <c r="F48" i="2"/>
  <c r="F42" i="2"/>
  <c r="F34" i="2"/>
  <c r="F30" i="2"/>
  <c r="F25" i="2"/>
  <c r="F22" i="2"/>
  <c r="F19" i="2"/>
  <c r="F16" i="2"/>
  <c r="F13" i="2"/>
  <c r="F8" i="2"/>
  <c r="F41" i="2"/>
  <c r="D25" i="5"/>
  <c r="D37" i="5"/>
  <c r="D39" i="5"/>
  <c r="D42" i="5"/>
  <c r="J8" i="2"/>
  <c r="A28" i="6"/>
  <c r="A29" i="6"/>
  <c r="R30" i="6"/>
  <c r="A29" i="5"/>
  <c r="R30" i="5"/>
  <c r="J114" i="2"/>
  <c r="H114" i="2"/>
  <c r="F114" i="2"/>
  <c r="I114" i="2"/>
  <c r="G114" i="2"/>
  <c r="A30" i="6"/>
  <c r="R33" i="6"/>
  <c r="R33" i="5"/>
  <c r="A30" i="5"/>
  <c r="F12" i="1"/>
  <c r="R34" i="6"/>
  <c r="A33" i="6"/>
  <c r="A33" i="5"/>
  <c r="R34" i="5"/>
  <c r="R35" i="6"/>
  <c r="A34" i="6"/>
  <c r="R35" i="5"/>
  <c r="A34" i="5"/>
  <c r="R36" i="6"/>
  <c r="A35" i="6"/>
  <c r="A35" i="5"/>
  <c r="R36" i="5"/>
  <c r="A42" i="3"/>
  <c r="D41" i="3"/>
  <c r="D36" i="3"/>
  <c r="D35" i="3"/>
  <c r="D34" i="3"/>
  <c r="D33" i="3"/>
  <c r="D30" i="3"/>
  <c r="D29" i="3"/>
  <c r="R28" i="3"/>
  <c r="R29" i="3"/>
  <c r="D28" i="3"/>
  <c r="A25" i="3"/>
  <c r="D24" i="3"/>
  <c r="D23" i="3"/>
  <c r="D22" i="3"/>
  <c r="D21" i="3"/>
  <c r="D20" i="3"/>
  <c r="D19" i="3"/>
  <c r="D18" i="3"/>
  <c r="A18" i="3"/>
  <c r="A17" i="3"/>
  <c r="A16" i="3"/>
  <c r="A15" i="3"/>
  <c r="A14" i="3"/>
  <c r="A13" i="3"/>
  <c r="D12" i="3"/>
  <c r="A12" i="3"/>
  <c r="D11" i="3"/>
  <c r="R114" i="2"/>
  <c r="O114" i="2"/>
  <c r="O112" i="2"/>
  <c r="O111" i="2"/>
  <c r="R110" i="2"/>
  <c r="O110" i="2"/>
  <c r="O108" i="2"/>
  <c r="O107" i="2"/>
  <c r="R106" i="2"/>
  <c r="O106" i="2"/>
  <c r="O104" i="2"/>
  <c r="O102" i="2"/>
  <c r="O101" i="2"/>
  <c r="O100" i="2"/>
  <c r="R99" i="2"/>
  <c r="O99" i="2"/>
  <c r="O97" i="2"/>
  <c r="O96" i="2"/>
  <c r="O95" i="2"/>
  <c r="O94" i="2"/>
  <c r="O93" i="2"/>
  <c r="O92" i="2"/>
  <c r="O91" i="2"/>
  <c r="O90" i="2"/>
  <c r="O89" i="2"/>
  <c r="O88" i="2"/>
  <c r="O87" i="2"/>
  <c r="R86" i="2"/>
  <c r="O86" i="2"/>
  <c r="L86" i="2"/>
  <c r="O84" i="2"/>
  <c r="O83" i="2"/>
  <c r="O82" i="2"/>
  <c r="O81" i="2"/>
  <c r="O80" i="2"/>
  <c r="O79" i="2"/>
  <c r="O78" i="2"/>
  <c r="R77" i="2"/>
  <c r="O77" i="2"/>
  <c r="L77" i="2"/>
  <c r="O75" i="2"/>
  <c r="O74" i="2"/>
  <c r="O73" i="2"/>
  <c r="O72" i="2"/>
  <c r="O71" i="2"/>
  <c r="O70" i="2"/>
  <c r="O69" i="2"/>
  <c r="O68" i="2"/>
  <c r="O67" i="2"/>
  <c r="O66" i="2"/>
  <c r="O65" i="2"/>
  <c r="O64" i="2"/>
  <c r="O63" i="2"/>
  <c r="O62" i="2"/>
  <c r="O61" i="2"/>
  <c r="L61" i="2"/>
  <c r="O60" i="2"/>
  <c r="O59" i="2"/>
  <c r="O58" i="2"/>
  <c r="O57" i="2"/>
  <c r="O56" i="2"/>
  <c r="L56" i="2"/>
  <c r="O55" i="2"/>
  <c r="O54" i="2"/>
  <c r="O53" i="2"/>
  <c r="O52" i="2"/>
  <c r="O51" i="2"/>
  <c r="L51" i="2"/>
  <c r="L42" i="2"/>
  <c r="L48" i="2"/>
  <c r="L41" i="2"/>
  <c r="O50" i="2"/>
  <c r="O49" i="2"/>
  <c r="O48" i="2"/>
  <c r="O47" i="2"/>
  <c r="O46" i="2"/>
  <c r="O45" i="2"/>
  <c r="O44" i="2"/>
  <c r="O43" i="2"/>
  <c r="O42" i="2"/>
  <c r="R41" i="2"/>
  <c r="O41" i="2"/>
  <c r="O39" i="2"/>
  <c r="O38" i="2"/>
  <c r="O37" i="2"/>
  <c r="O36" i="2"/>
  <c r="O35" i="2"/>
  <c r="O34" i="2"/>
  <c r="L34" i="2"/>
  <c r="O33" i="2"/>
  <c r="O32" i="2"/>
  <c r="O31" i="2"/>
  <c r="O30" i="2"/>
  <c r="L30" i="2"/>
  <c r="O29" i="2"/>
  <c r="O28" i="2"/>
  <c r="O27" i="2"/>
  <c r="O26" i="2"/>
  <c r="O25" i="2"/>
  <c r="L25" i="2"/>
  <c r="O24" i="2"/>
  <c r="O23" i="2"/>
  <c r="O22" i="2"/>
  <c r="L22" i="2"/>
  <c r="O21" i="2"/>
  <c r="O20" i="2"/>
  <c r="O19" i="2"/>
  <c r="L19" i="2"/>
  <c r="O18" i="2"/>
  <c r="O17" i="2"/>
  <c r="O16" i="2"/>
  <c r="L16" i="2"/>
  <c r="L8" i="2"/>
  <c r="O15" i="2"/>
  <c r="O14" i="2"/>
  <c r="O13" i="2"/>
  <c r="O11" i="2"/>
  <c r="O10" i="2"/>
  <c r="O9" i="2"/>
  <c r="R8" i="2"/>
  <c r="O8" i="2"/>
  <c r="K54" i="1"/>
  <c r="K53" i="1"/>
  <c r="K52" i="1"/>
  <c r="K51" i="1"/>
  <c r="K49" i="1"/>
  <c r="K48" i="1"/>
  <c r="K47" i="1"/>
  <c r="K44" i="1"/>
  <c r="K43" i="1"/>
  <c r="K42" i="1"/>
  <c r="K41" i="1"/>
  <c r="K40" i="1"/>
  <c r="K39" i="1"/>
  <c r="K38" i="1"/>
  <c r="K35" i="1"/>
  <c r="K34" i="1"/>
  <c r="K33" i="1"/>
  <c r="K32" i="1"/>
  <c r="K31" i="1"/>
  <c r="K30" i="1"/>
  <c r="K29" i="1"/>
  <c r="K28" i="1"/>
  <c r="K25" i="1"/>
  <c r="K24" i="1"/>
  <c r="K23" i="1"/>
  <c r="K22" i="1"/>
  <c r="K21" i="1"/>
  <c r="K20" i="1"/>
  <c r="K19" i="1"/>
  <c r="K18" i="1"/>
  <c r="K17" i="1"/>
  <c r="K16" i="1"/>
  <c r="K15" i="1"/>
  <c r="K14" i="1"/>
  <c r="L114" i="2"/>
  <c r="D25" i="3"/>
  <c r="D37" i="3"/>
  <c r="A36" i="6"/>
  <c r="R37" i="6"/>
  <c r="R37" i="5"/>
  <c r="A36" i="5"/>
  <c r="R30" i="3"/>
  <c r="A29" i="3"/>
  <c r="A28" i="3"/>
  <c r="D39" i="3"/>
  <c r="D42" i="3"/>
  <c r="K114" i="2"/>
  <c r="R39" i="6"/>
  <c r="A37" i="6"/>
  <c r="A37" i="5"/>
  <c r="R39" i="5"/>
  <c r="A30" i="3"/>
  <c r="R33" i="3"/>
  <c r="R41" i="6"/>
  <c r="A41" i="6"/>
  <c r="A39" i="6"/>
  <c r="R41" i="5"/>
  <c r="A41" i="5"/>
  <c r="A39" i="5"/>
  <c r="R34" i="3"/>
  <c r="A33" i="3"/>
  <c r="R35" i="3"/>
  <c r="A34" i="3"/>
  <c r="R36" i="3"/>
  <c r="A35" i="3"/>
  <c r="A36" i="3"/>
  <c r="R37" i="3"/>
  <c r="R39" i="3"/>
  <c r="A37" i="3"/>
  <c r="R41" i="3"/>
  <c r="A41" i="3"/>
  <c r="A39" i="3"/>
  <c r="A11" i="3"/>
  <c r="D25" i="6"/>
  <c r="D39" i="6"/>
  <c r="D42" i="6"/>
  <c r="D20" i="12"/>
  <c r="C12" i="14"/>
  <c r="C13" i="14"/>
  <c r="E20" i="12"/>
  <c r="D12" i="14"/>
  <c r="D13" i="14"/>
  <c r="F20" i="12"/>
  <c r="E12" i="14"/>
  <c r="E13" i="14"/>
  <c r="G20" i="12"/>
  <c r="F12" i="14"/>
  <c r="F13" i="14"/>
</calcChain>
</file>

<file path=xl/comments1.xml><?xml version="1.0" encoding="utf-8"?>
<comments xmlns="http://schemas.openxmlformats.org/spreadsheetml/2006/main">
  <authors>
    <author>Alex Teece</author>
  </authors>
  <commentList>
    <comment ref="I3" authorId="0" shapeId="0">
      <text>
        <r>
          <rPr>
            <b/>
            <sz val="9"/>
            <color indexed="81"/>
            <rFont val="Arial"/>
            <family val="2"/>
          </rPr>
          <t>Alex Teece:</t>
        </r>
        <r>
          <rPr>
            <sz val="9"/>
            <color indexed="81"/>
            <rFont val="Arial"/>
            <family val="2"/>
          </rPr>
          <t xml:space="preserve">
Can change this % to see impact on revenue.</t>
        </r>
      </text>
    </comment>
    <comment ref="N17" authorId="0" shapeId="0">
      <text>
        <r>
          <rPr>
            <b/>
            <sz val="9"/>
            <color indexed="81"/>
            <rFont val="Arial"/>
            <family val="2"/>
          </rPr>
          <t>Alex Teece:</t>
        </r>
        <r>
          <rPr>
            <sz val="9"/>
            <color indexed="81"/>
            <rFont val="Arial"/>
            <family val="2"/>
          </rPr>
          <t xml:space="preserve">
$419/student based off 13-14 SY; 16-17 revised basic PPA is $544.33; we are keeping $419 to remain extremely conservative with this estimate.</t>
        </r>
      </text>
    </comment>
  </commentList>
</comments>
</file>

<file path=xl/comments2.xml><?xml version="1.0" encoding="utf-8"?>
<comments xmlns="http://schemas.openxmlformats.org/spreadsheetml/2006/main">
  <authors>
    <author>Alex Teece</author>
  </authors>
  <commentList>
    <comment ref="C5" authorId="0" shapeId="0">
      <text>
        <r>
          <rPr>
            <b/>
            <sz val="9"/>
            <color indexed="81"/>
            <rFont val="Arial"/>
            <family val="2"/>
          </rPr>
          <t>Alex Teece:</t>
        </r>
        <r>
          <rPr>
            <sz val="9"/>
            <color indexed="81"/>
            <rFont val="Arial"/>
            <family val="2"/>
          </rPr>
          <t xml:space="preserve">
We anticipate having the following B/S snapshot as of June 30, 2021.</t>
        </r>
      </text>
    </comment>
  </commentList>
</comments>
</file>

<file path=xl/sharedStrings.xml><?xml version="1.0" encoding="utf-8"?>
<sst xmlns="http://schemas.openxmlformats.org/spreadsheetml/2006/main" count="1216" uniqueCount="742">
  <si>
    <t xml:space="preserve">NAME: </t>
  </si>
  <si>
    <t>Form A1</t>
  </si>
  <si>
    <t xml:space="preserve">Annual Budget </t>
  </si>
  <si>
    <t>Line</t>
  </si>
  <si>
    <t>Instructions/Notes</t>
  </si>
  <si>
    <t>OPERATING REVENUES</t>
  </si>
  <si>
    <t>Grants - State Per Pupil</t>
  </si>
  <si>
    <t>Grants - State Facilities</t>
  </si>
  <si>
    <t>Grants - State Other</t>
  </si>
  <si>
    <t>Grants - Federal</t>
  </si>
  <si>
    <t>Grants - Private</t>
  </si>
  <si>
    <t>Nutrition Funding - Federal</t>
  </si>
  <si>
    <t>Nutrition Funding - Fees</t>
  </si>
  <si>
    <t>Other Program Fees</t>
  </si>
  <si>
    <t>Contributions, in-kind</t>
  </si>
  <si>
    <t>Contributions, cash</t>
  </si>
  <si>
    <t xml:space="preserve"> </t>
  </si>
  <si>
    <t>Transportation  Fees</t>
  </si>
  <si>
    <t>SPED Reimbursements</t>
  </si>
  <si>
    <t>Other:</t>
  </si>
  <si>
    <t>Please enter a brief description in the highlighted green cell, if applicable.</t>
  </si>
  <si>
    <t>TOTAL OPERATING REVENUES</t>
  </si>
  <si>
    <t>Calculates automatically.</t>
  </si>
  <si>
    <t>OPERATING EXPENSES</t>
  </si>
  <si>
    <t>Administration</t>
  </si>
  <si>
    <t>Charter School figures will be populated from the Sch_FuncExp sheet.</t>
  </si>
  <si>
    <t>Instructional Services</t>
  </si>
  <si>
    <t>Pupil Services</t>
  </si>
  <si>
    <t>Operation &amp; Maintenance of Plant</t>
  </si>
  <si>
    <t>Benefits and Other Fixed Charges</t>
  </si>
  <si>
    <t>Community Services</t>
  </si>
  <si>
    <t>TOTAL OPERATING EXPENSES</t>
  </si>
  <si>
    <t>TOTAL OPERATING GAIN/(LOSS)</t>
  </si>
  <si>
    <t>NONOPERATING REVENUE</t>
  </si>
  <si>
    <t>Contributions, from Component Unit</t>
  </si>
  <si>
    <t>Contributions, Cash</t>
  </si>
  <si>
    <t>Rental Income</t>
  </si>
  <si>
    <t>Interest/Investment Income</t>
  </si>
  <si>
    <t>TOTAL NONOPERATING REVENUE</t>
  </si>
  <si>
    <t>NONOPERATING EXPENSES</t>
  </si>
  <si>
    <t>Long-Term Interest</t>
  </si>
  <si>
    <t>TOTAL NONOPERATING EXPENSES</t>
  </si>
  <si>
    <t>TOTAL NONOPERATING GAIN/(LOSS)</t>
  </si>
  <si>
    <t>CHANGES IN NET ASSETS:</t>
  </si>
  <si>
    <t>NET ASSETS AT BEGINNING OF YEAR</t>
  </si>
  <si>
    <t>NET ASSETS AT END OF YEAR</t>
  </si>
  <si>
    <t xml:space="preserve">Calculates automatically. </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</si>
  <si>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</si>
  <si>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</si>
  <si>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</si>
  <si>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</si>
  <si>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</si>
  <si>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1000 series</t>
  </si>
  <si>
    <t>Calculates automatically - expenses for the Local School Board.</t>
  </si>
  <si>
    <t>1100</t>
  </si>
  <si>
    <t xml:space="preserve">    Contracted Services  </t>
  </si>
  <si>
    <t>LSB contracted professional services, including all related expenses covered by the contract</t>
  </si>
  <si>
    <t xml:space="preserve">    Travel and other expenses</t>
  </si>
  <si>
    <t>Travel and other expenses for Board members such as dues, subscriptions and memberships.</t>
  </si>
  <si>
    <t>Supplies and materials for the operation of the LSB</t>
  </si>
  <si>
    <t>Subtotal - School Leadership</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</si>
  <si>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</si>
  <si>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</si>
  <si>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</si>
  <si>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t>
  </si>
  <si>
    <t xml:space="preserve">    Contracted Services</t>
  </si>
  <si>
    <t>Contracted professional services, including all related expenses covered by the contract.</t>
  </si>
  <si>
    <t>Subtotal - Business and Finance</t>
  </si>
  <si>
    <t>Calculates automatically - expenses for the Business and Finance office.</t>
  </si>
  <si>
    <t>1410</t>
  </si>
  <si>
    <t>Salaries for non-instructional school-wide administrative personnel such as business manager, accountant, chief financial officer, etc.</t>
  </si>
  <si>
    <t>Subtotal - Human Resources</t>
  </si>
  <si>
    <t>Calculates automatically - expenses for the HR office.</t>
  </si>
  <si>
    <t>1420</t>
  </si>
  <si>
    <t>Salaries for non-instructional school-wide administrative personnel such as an HR director.</t>
  </si>
  <si>
    <t>Subtotal - Legal Services</t>
  </si>
  <si>
    <t>Calculates automatically - expenses for legal representation for the School.</t>
  </si>
  <si>
    <t>1430, 1435</t>
  </si>
  <si>
    <t>Salaries for non-instructional school-wide administrative personnel such as a school attorney.</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</si>
  <si>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</si>
  <si>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</si>
  <si>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</si>
  <si>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</si>
  <si>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 xml:space="preserve">    Supplies and Materials</t>
  </si>
  <si>
    <t>Materials and items of an expendable nature that are consumed or loses their identity through incorporation into a different/more complex unit/substance. Unit price of less than $5000.</t>
  </si>
  <si>
    <t>1230</t>
  </si>
  <si>
    <t xml:space="preserve">    Depreciation for Information Technology</t>
  </si>
  <si>
    <t>Annual depreciation expense for capitalized Information Management and Technology.</t>
  </si>
  <si>
    <t>Subtotal - Development</t>
  </si>
  <si>
    <t>Calculates automatically - expenses related to development, fundraising, and recruitment.</t>
  </si>
  <si>
    <t>Salaries for non-instructional school-wide administrative personnel such as a Director of Development.</t>
  </si>
  <si>
    <t xml:space="preserve">    Fundraising</t>
  </si>
  <si>
    <t>Expenses related to fundraising.</t>
  </si>
  <si>
    <t>1230??</t>
  </si>
  <si>
    <t>Subtotal - Other Administration</t>
  </si>
  <si>
    <t xml:space="preserve">    Salaries - Clerical</t>
  </si>
  <si>
    <t>Salaries for administrative support personnel who prepare, transcribe, systematize or preserve communications, records and transactions.</t>
  </si>
  <si>
    <t xml:space="preserve">    Recruitment/Advertising</t>
  </si>
  <si>
    <t>Recruiting/advertising for students, staff, and board members.</t>
  </si>
  <si>
    <t>Travel and other expenses for staff and the school such as dues, subscriptions and memberships.</t>
  </si>
  <si>
    <t>Office Supplies and postage</t>
  </si>
  <si>
    <t>Dues, Licenses, Permits, Admin Meetings</t>
  </si>
  <si>
    <t>2000 series</t>
  </si>
  <si>
    <t>Subtotal - Instructional Leadership</t>
  </si>
  <si>
    <t>Calculates automatically - expenses for instructional leadership.</t>
  </si>
  <si>
    <t>2100s, 2200s, 2315</t>
  </si>
  <si>
    <t>Salaries for instructional personnel in leadership roles such as Principal/Asst. Principals (undistributed),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</si>
  <si>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</si>
  <si>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</si>
  <si>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</si>
  <si>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</si>
  <si>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</si>
  <si>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</si>
  <si>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</si>
  <si>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</si>
  <si>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</si>
  <si>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</si>
  <si>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</si>
  <si>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</si>
  <si>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</si>
  <si>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Salaries for Medical/Therapeutic service professionals (OT, PT, Speech, Vision and other therapeutic services that are provided by licensed practitioners), librarians, media center directors, substitute teachers on payroll.</t>
  </si>
  <si>
    <t>2320, 2325, 2340</t>
  </si>
  <si>
    <t xml:space="preserve">    Salaries - Nonclerical Paraprofessionals</t>
  </si>
  <si>
    <t>Salaries for paraprofessionals hired to assist teachers/specialists with classroom instruction or to assist teachers in the preparation or reproduction of instructional materials or operation and maintenance of instructional equipment, or performance of o</t>
  </si>
  <si>
    <t>2330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</si>
  <si>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</si>
  <si>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</si>
  <si>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</si>
  <si>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</si>
  <si>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Salaries for full-time or prorated salary (if 50% or greater) of director/staff for professional development, including training for new teachers, new curriculum or instructional practices, master and mentor teachers, coaches; Also salaries of teacher/ins</t>
  </si>
  <si>
    <t>2351, 2353</t>
  </si>
  <si>
    <t>Contracted professional services, including all related expenses covered by the contract, for professional development (non-payroll substitute teachers should be included here).</t>
  </si>
  <si>
    <t>Subtotal - Guidance, Psychological &amp; Testing</t>
  </si>
  <si>
    <t>Calculates automatically - expenses for guidance, psychological, and testing.</t>
  </si>
  <si>
    <t>2700s, 2800s</t>
  </si>
  <si>
    <t>Salaries for Director of Guidance, school social workers, and counselors for guidance, school adjustment, higher education, career planning, and workplace learning placement; psychological evaluations  and other services provided by a licensed mental heal</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</si>
  <si>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</si>
  <si>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</si>
  <si>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</si>
  <si>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</si>
  <si>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</si>
  <si>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</si>
  <si>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</si>
  <si>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</si>
  <si>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</si>
  <si>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</si>
  <si>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</si>
  <si>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</si>
  <si>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</si>
  <si>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</si>
  <si>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</si>
  <si>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</si>
  <si>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</si>
  <si>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 Also, distance learning services.</t>
  </si>
  <si>
    <t>2440</t>
  </si>
  <si>
    <t xml:space="preserve">    Classroom Instructional Technology</t>
  </si>
  <si>
    <t>Computers, servers, networks, scanners, digital cameras, etc. used in the classroom or in computer laboratories.</t>
  </si>
  <si>
    <t>2451</t>
  </si>
  <si>
    <t xml:space="preserve">    Other Instructional Hardware</t>
  </si>
  <si>
    <t>Computers, servers, networks, scanners, digital cameras, etc. for school libraries and media centers.</t>
  </si>
  <si>
    <t>2453</t>
  </si>
  <si>
    <t xml:space="preserve">    Instructional Software</t>
  </si>
  <si>
    <t>Programs, licenses, CD-ROMs.</t>
  </si>
  <si>
    <t>2455</t>
  </si>
  <si>
    <t xml:space="preserve">    Depreciation for Instructional Equipment</t>
  </si>
  <si>
    <t>Annual depreciation expense for capitalized Instructional Materials, Equipment, &amp; Technology.</t>
  </si>
  <si>
    <t>NA</t>
  </si>
  <si>
    <t>3000 series</t>
  </si>
  <si>
    <t>Salaries - Pupil Services</t>
  </si>
  <si>
    <t>School nurses, registrars,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</si>
  <si>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</si>
  <si>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</si>
  <si>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</si>
  <si>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</si>
  <si>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</si>
  <si>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</si>
  <si>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t>
  </si>
  <si>
    <t>Food Services</t>
  </si>
  <si>
    <t>Contracted professional services and related costs, including stipends incurred for the school's food services program.</t>
  </si>
  <si>
    <t>Athletic Services</t>
  </si>
  <si>
    <t>Specify other pupil services expenditures, if applicable.</t>
  </si>
  <si>
    <t>3520/3600</t>
  </si>
  <si>
    <t>4000 series</t>
  </si>
  <si>
    <t>Salaries - Operation &amp; Maintenance of Plant</t>
  </si>
  <si>
    <t>Plant managers, 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</si>
  <si>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</si>
  <si>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</si>
  <si>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</si>
  <si>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</si>
  <si>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</si>
  <si>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</si>
  <si>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</si>
  <si>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</si>
  <si>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</si>
  <si>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</si>
  <si>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</si>
  <si>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</si>
  <si>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</si>
  <si>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</si>
  <si>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</si>
  <si>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</si>
  <si>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</si>
  <si>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</si>
  <si>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School Equipment and Furniture</t>
  </si>
  <si>
    <t>Custodial Supplies</t>
  </si>
  <si>
    <t>Specify other operations &amp; maintenance of plant expenses</t>
  </si>
  <si>
    <t>5000 series</t>
  </si>
  <si>
    <t>Employee Retirement</t>
  </si>
  <si>
    <t>Fringe Benefits</t>
  </si>
  <si>
    <t>5200, 5250</t>
  </si>
  <si>
    <t>Insurance (non-employee)</t>
  </si>
  <si>
    <t>Insurance premiums for property, fire, liability, fidelity bonds; judgments against the school resulting from self-insurance.</t>
  </si>
  <si>
    <t>5400, 5450</t>
  </si>
  <si>
    <t>Specify other fixed charge expenditures, if applicable, which may include costs of public safety inspections.</t>
  </si>
  <si>
    <t>5500</t>
  </si>
  <si>
    <t>6000 series</t>
  </si>
  <si>
    <t>Dissemination Activities</t>
  </si>
  <si>
    <t>Activities designed to disseminate the school's best practices to external groups, including presentations at or hosting of conferences, etc.</t>
  </si>
  <si>
    <t>6200</t>
  </si>
  <si>
    <t>Civic Activities</t>
  </si>
  <si>
    <t>Non-Operating Expenses</t>
  </si>
  <si>
    <t>TOTALS</t>
  </si>
  <si>
    <t>Form A3</t>
  </si>
  <si>
    <r>
      <t>Schedule of</t>
    </r>
    <r>
      <rPr>
        <b/>
        <sz val="11"/>
        <color rgb="FFFF0000"/>
        <rFont val="Arial"/>
        <family val="2"/>
      </rPr>
      <t xml:space="preserve"> Estimated</t>
    </r>
    <r>
      <rPr>
        <b/>
        <sz val="11"/>
        <rFont val="Arial"/>
        <family val="2"/>
      </rPr>
      <t xml:space="preserve"> Monthly Cash Flows</t>
    </r>
  </si>
  <si>
    <t>Year 1</t>
  </si>
  <si>
    <t>Description</t>
  </si>
  <si>
    <t>Total</t>
  </si>
  <si>
    <t>July</t>
  </si>
  <si>
    <t>August</t>
  </si>
  <si>
    <t>September</t>
  </si>
  <si>
    <t>October</t>
  </si>
  <si>
    <t>November</t>
  </si>
  <si>
    <t>December</t>
  </si>
  <si>
    <t>January</t>
  </si>
  <si>
    <t>February</t>
  </si>
  <si>
    <t>March</t>
  </si>
  <si>
    <t>April</t>
  </si>
  <si>
    <t>May</t>
  </si>
  <si>
    <t>June</t>
  </si>
  <si>
    <t>CASH FLOWS FROM OPERATING ACTIVITIES</t>
  </si>
  <si>
    <t>NET CASH PROVIDED (USED) BY OPERATING ACTIVITIES</t>
  </si>
  <si>
    <t xml:space="preserve">       </t>
  </si>
  <si>
    <t>CASH FLOWS FROM INVESTING ACTIVITIES</t>
  </si>
  <si>
    <t>NET CASH PROVIDED (USED) BY INVESTING ACTIVITIES</t>
  </si>
  <si>
    <t>Calculates automatically</t>
  </si>
  <si>
    <t>CASH FLOWS FROM FINANCING ACTIVITIES</t>
  </si>
  <si>
    <t>NET CASH PROVIDED (USED) BY FINANCING ACTIVITIES</t>
  </si>
  <si>
    <t>NET CASH INCREASE (DECREASE) FOR THE PERIOD</t>
  </si>
  <si>
    <t>CASH BALANCE, BEGINNING OF THE PERIOD</t>
  </si>
  <si>
    <t>Calculates automatically, except for July - enter july beginning cash balance</t>
  </si>
  <si>
    <t>CASH BALANCE, END OF PERIOD</t>
  </si>
  <si>
    <t>Subtotal - Local School Board (LSB)</t>
  </si>
  <si>
    <t>Information for this cell pulled from the Sch_FuncExp sheet.</t>
  </si>
  <si>
    <t>blue cells - information provided by applicant</t>
  </si>
  <si>
    <t xml:space="preserve">yellow cells - Formula cells, do not enter information. </t>
  </si>
  <si>
    <t>gray cells - leave cell blank, info not applicable</t>
  </si>
  <si>
    <t>For all personnel, please provide a full-time equivalency (FTE) total that corresponds to the salary expense reported.  If individual's work week is 40 hours, then 1.0 FTE.  If less than 40 hours per week need to calculate FTE [ no. of hours scheduled/40hours ]</t>
  </si>
  <si>
    <t xml:space="preserve">Not an expense for the schools </t>
  </si>
  <si>
    <t>Year 3</t>
  </si>
  <si>
    <t>Year 2</t>
  </si>
  <si>
    <t>Estimated Beginning Net Assets, For Year 0 (Start up), should be zero</t>
  </si>
  <si>
    <t>Per pupil funding received by the schools from the Commission or State of HI</t>
  </si>
  <si>
    <t>No need to enter information in this cell.  Information is pulled from another schedule or based on a formula.</t>
  </si>
  <si>
    <t>ASSETS</t>
  </si>
  <si>
    <t>Enter Information in this cell.</t>
  </si>
  <si>
    <t>Current Assets</t>
  </si>
  <si>
    <t>Cash and Cash Equivalents</t>
  </si>
  <si>
    <t>Assets that are cash or can be converted into cash immediately.</t>
  </si>
  <si>
    <t>Accounts Receivable net of doubtful accounts</t>
  </si>
  <si>
    <t>A school's claim for money, goods and services from customers and other entities.</t>
  </si>
  <si>
    <t>Grants Receivable - State</t>
  </si>
  <si>
    <t>Claims for goods and services provided under state awarded contracts.</t>
  </si>
  <si>
    <t>Grants Receivable - Federal</t>
  </si>
  <si>
    <t>Claims for goods and services provided under federal awarded contracts.</t>
  </si>
  <si>
    <t>Grants Receivable - Private</t>
  </si>
  <si>
    <t>Claims for goods and services provided from private awards received.</t>
  </si>
  <si>
    <t xml:space="preserve">Contributions Receivable </t>
  </si>
  <si>
    <t>Unconditional promises to give by private individuals or corporations.</t>
  </si>
  <si>
    <t>Due from related parties</t>
  </si>
  <si>
    <t>Amounts to be received from related parties.</t>
  </si>
  <si>
    <t>Prepaid Expenses</t>
  </si>
  <si>
    <t>An expense paid but not incurred as of year end.</t>
  </si>
  <si>
    <t>Short-Term Investments</t>
  </si>
  <si>
    <t>Readily marketable security for which the intention of the school is the conversion to cash in the short term.</t>
  </si>
  <si>
    <t>TOTAL CURRENT ASSETS</t>
  </si>
  <si>
    <t>Noncurrent Assets</t>
  </si>
  <si>
    <t>Capital Assets</t>
  </si>
  <si>
    <t>- Land and Buildings</t>
  </si>
  <si>
    <t>- Building/Leasehold Improvement</t>
  </si>
  <si>
    <t>Improvements on leased property that revert back to the owners upon termination of the lease.</t>
  </si>
  <si>
    <t>- Furniture and Equipment</t>
  </si>
  <si>
    <t>Purchases of furniture and equipment that meet the school's capitalization policy.</t>
  </si>
  <si>
    <t>- Less Accumulated Depreciation</t>
  </si>
  <si>
    <t>The aggregate, at a given point in time, of the depreciation charges made during the useful life of the fixed asset. Enter as a negative number.</t>
  </si>
  <si>
    <t>Net Capital Assets</t>
  </si>
  <si>
    <t>Restricted cash and cash equivalents</t>
  </si>
  <si>
    <t>Cash resticted by external sources for future purchases.</t>
  </si>
  <si>
    <t>Long-Term Investments</t>
  </si>
  <si>
    <t>Investments that do not meet the criteria of "Short-Term Investments" above.</t>
  </si>
  <si>
    <t>TOTAL NONCURRENT ASSETS</t>
  </si>
  <si>
    <t>TOTAL ASSETS</t>
  </si>
  <si>
    <t>LIABILITIES AND NET ASSETS</t>
  </si>
  <si>
    <t>Current Liabilities</t>
  </si>
  <si>
    <t>Accounts Payable</t>
  </si>
  <si>
    <t>Obligations for goods or services purchased for which invoices have been received.</t>
  </si>
  <si>
    <t>Accrued Expenses</t>
  </si>
  <si>
    <t>An unpaid expense incurred that has not been paid as of the end of the period.</t>
  </si>
  <si>
    <t>Deferred Revenue</t>
  </si>
  <si>
    <t>Cash received for services not performed (i.e., grant funds received that were not expended).</t>
  </si>
  <si>
    <t>Due to related parties</t>
  </si>
  <si>
    <t>Amounts due to related parties.</t>
  </si>
  <si>
    <t>Current Debt Payable</t>
  </si>
  <si>
    <t>Debt obligations due within one year of financial statement date.</t>
  </si>
  <si>
    <t>Current Lease Obligations Payable</t>
  </si>
  <si>
    <t>Lease obligations due within one year of financial statement date.</t>
  </si>
  <si>
    <t>TOTAL CURRENT LIABILITIES</t>
  </si>
  <si>
    <t>Noncurrent Liabilities</t>
  </si>
  <si>
    <t>Noncurrent Lease Obligations</t>
  </si>
  <si>
    <t>Lease obligations due after one year of financial statement date.</t>
  </si>
  <si>
    <t>Long-Term Debt</t>
  </si>
  <si>
    <t>Debt obligations due after one year of financial statement date.</t>
  </si>
  <si>
    <t>TOTAL NONCURRENT LIABILITIES</t>
  </si>
  <si>
    <t>TOTAL LIABILITIES</t>
  </si>
  <si>
    <t>NET ASSETS</t>
  </si>
  <si>
    <t>Investment in capital assets (net of related debt)</t>
  </si>
  <si>
    <t>Represents caital assets reduced by accumulated depreciation and any outstanding debt used to acquire, construct or improve those assets.</t>
  </si>
  <si>
    <t>Restricted:</t>
  </si>
  <si>
    <t>- Temporarily:</t>
  </si>
  <si>
    <t>Please enter a brief description of restriction nature in the highlighted green cell, if applicable.</t>
  </si>
  <si>
    <t>- Permanently:</t>
  </si>
  <si>
    <t>Unrestricted:</t>
  </si>
  <si>
    <t>Net assets that do not meet the definitions of any of the above categories.</t>
  </si>
  <si>
    <t>TOTAL NET ASSETS</t>
  </si>
  <si>
    <t>TOTAL LIABILITIES AND NET ASSETS</t>
  </si>
  <si>
    <t>Year 0</t>
  </si>
  <si>
    <t xml:space="preserve">Calculates automatically.  </t>
  </si>
  <si>
    <t>Year 0 (Start Up)
(17-18)</t>
  </si>
  <si>
    <t>Year 1
(18-19)</t>
  </si>
  <si>
    <t>Year 2
(19-20)</t>
  </si>
  <si>
    <t>Year 3
(20-21)</t>
  </si>
  <si>
    <t>For Fiscal Year July 1, 2017 through June 30, 2021</t>
  </si>
  <si>
    <t>Per Pupil</t>
  </si>
  <si>
    <t>Show your work:</t>
  </si>
  <si>
    <t>Title I</t>
  </si>
  <si>
    <t>Title I:</t>
  </si>
  <si>
    <t>Per student (per 2013-14 State Memo)</t>
  </si>
  <si>
    <t>Dollar Amount</t>
  </si>
  <si>
    <t>% of Student Pop.</t>
  </si>
  <si>
    <t>DreamHouse Ewa Beach</t>
  </si>
  <si>
    <t>Impact Aid</t>
  </si>
  <si>
    <t>47.2% is cut-off</t>
  </si>
  <si>
    <t>Campbell is 47.98% (15-16SY)</t>
  </si>
  <si>
    <t>Setting assumption at 50% due to footprint elementary school levels (Pohakea, Kaimiloa)</t>
  </si>
  <si>
    <t>Title II:</t>
  </si>
  <si>
    <t>Not building this into model at this point</t>
  </si>
  <si>
    <t>Unsure of which teachers will qualify to affect this number</t>
  </si>
  <si>
    <t>Impact Aid:</t>
  </si>
  <si>
    <t>Plan to get $ after close of previous fiscal year</t>
  </si>
  <si>
    <t>http://www.doe.mass.edu/news/news.asp?id=2533.</t>
  </si>
  <si>
    <t>Assuming 8% Special Education population (complex average, 14-15)</t>
  </si>
  <si>
    <t>Sp. Ed. Reim.:</t>
  </si>
  <si>
    <t xml:space="preserve">    Supplies &amp; Materials</t>
  </si>
  <si>
    <t>Other: Custodial supplies</t>
  </si>
  <si>
    <t>Travel, hotel, food, additional reimbursements</t>
  </si>
  <si>
    <t>Materials, advertising, meetings, and additional friend- and fundraising-related expenses ($500/mo.)</t>
  </si>
  <si>
    <t>Recruiting teachers, families &amp; students, partners</t>
  </si>
  <si>
    <t>Dues, Licenses, Permits</t>
  </si>
  <si>
    <t>Initial materials for Leadership Support Team (LST) (TBD by LST)</t>
  </si>
  <si>
    <t>Laptop, iPad, tech services, classroom software</t>
  </si>
  <si>
    <t>Renovation + set-up period; hire ops/maintenance as needed with set-up</t>
  </si>
  <si>
    <t>See above recruitment</t>
  </si>
  <si>
    <t>100</t>
  </si>
  <si>
    <t>100 - Administration</t>
  </si>
  <si>
    <t>200 - Instructional Services</t>
  </si>
  <si>
    <t>300 - Pupil Services</t>
  </si>
  <si>
    <t>400 - Operation &amp; Maintenance of Plant</t>
  </si>
  <si>
    <t>500 - Benefits and Other Fixed Charges</t>
  </si>
  <si>
    <t>Cash Paid to Employees and Vendors</t>
  </si>
  <si>
    <t>600 - Community Service</t>
  </si>
  <si>
    <t>700 - Non-Operating Expenses</t>
  </si>
  <si>
    <t>Local Cash Receipts</t>
  </si>
  <si>
    <t>Cash from Government Funding</t>
  </si>
  <si>
    <t>State Sources</t>
  </si>
  <si>
    <t>Federal Sources</t>
  </si>
  <si>
    <t>Cash Contributions (Individuals, Corporate, Organization)</t>
  </si>
  <si>
    <t>Interest Received</t>
  </si>
  <si>
    <t>Other Local Cash Receipts (Foundation)</t>
  </si>
  <si>
    <t>Cash Used to Purchase Capitalized Assets</t>
  </si>
  <si>
    <t>Cash Receipts from Sale of Capitalized Assets</t>
  </si>
  <si>
    <t>Proceeds from Debt Obligations</t>
  </si>
  <si>
    <t>Proceeds from Capital Leases</t>
  </si>
  <si>
    <t>Principal Payments on Debt Obligations</t>
  </si>
  <si>
    <t>Principal Payments on Capital Leases</t>
  </si>
  <si>
    <t>Stu. Pop.</t>
  </si>
  <si>
    <t>$ Amt.</t>
  </si>
  <si>
    <t># Stu.</t>
  </si>
  <si>
    <t>ANNUAL FOUNDATION FUNDRAISING | Grants awarded by private (non-governmental) entities</t>
  </si>
  <si>
    <t>Short-Term Interest</t>
  </si>
  <si>
    <t>Title I money from the year before (@ $419/student, anticipating 50% FRL)</t>
  </si>
  <si>
    <t>Revenue #s brought over from cash flow; DO NOT CHANGE CELLS HERE</t>
  </si>
  <si>
    <t xml:space="preserve"> DreamHouse Ewa Beach </t>
  </si>
  <si>
    <t>Annual Increase</t>
  </si>
  <si>
    <t>Initial Salary Step</t>
  </si>
  <si>
    <t>Personnel Cost Structure &amp; Model</t>
  </si>
  <si>
    <t>16-17</t>
  </si>
  <si>
    <t>17-18</t>
  </si>
  <si>
    <t>18-19</t>
  </si>
  <si>
    <t>19-20</t>
  </si>
  <si>
    <t>20-21</t>
  </si>
  <si>
    <t>21-22</t>
  </si>
  <si>
    <t>22-23</t>
  </si>
  <si>
    <t>23-24</t>
  </si>
  <si>
    <t>Planning Year</t>
  </si>
  <si>
    <t>Year 4</t>
  </si>
  <si>
    <t>Year 5</t>
  </si>
  <si>
    <t>Year 6</t>
  </si>
  <si>
    <t>Year 7</t>
  </si>
  <si>
    <t>School Director</t>
  </si>
  <si>
    <t>Instructional Lead</t>
  </si>
  <si>
    <t>Special Education Lead</t>
  </si>
  <si>
    <t>Total LST</t>
  </si>
  <si>
    <t>MS Ops Support</t>
  </si>
  <si>
    <t>6th Math</t>
  </si>
  <si>
    <t>6th ELA</t>
  </si>
  <si>
    <t>6th Science</t>
  </si>
  <si>
    <t>6th Social Studies</t>
  </si>
  <si>
    <t>6th Hawaiian Studies</t>
  </si>
  <si>
    <t>TOTAL 6th</t>
  </si>
  <si>
    <t>7th Math</t>
  </si>
  <si>
    <t>7th ELA</t>
  </si>
  <si>
    <t>7th Science</t>
  </si>
  <si>
    <t>7th Social Studies</t>
  </si>
  <si>
    <t>7th Theatre</t>
  </si>
  <si>
    <t>7th Language</t>
  </si>
  <si>
    <t>7th Special Ed</t>
  </si>
  <si>
    <t>Total 7th</t>
  </si>
  <si>
    <t>8th Math</t>
  </si>
  <si>
    <t>8th ELA</t>
  </si>
  <si>
    <t>8th Science</t>
  </si>
  <si>
    <t>8th Social Studies</t>
  </si>
  <si>
    <t>8th Theatre</t>
  </si>
  <si>
    <t>8th Language</t>
  </si>
  <si>
    <t>8th Special Ed</t>
  </si>
  <si>
    <t>Total 8th</t>
  </si>
  <si>
    <t>Middle School Total</t>
  </si>
  <si>
    <t>9th Math</t>
  </si>
  <si>
    <t>9th ELA</t>
  </si>
  <si>
    <t>9th Science</t>
  </si>
  <si>
    <t>9th Social Studies</t>
  </si>
  <si>
    <t>9th Phys Ed</t>
  </si>
  <si>
    <t>9th Language</t>
  </si>
  <si>
    <t>9th Special Ed</t>
  </si>
  <si>
    <t>10th Math</t>
  </si>
  <si>
    <t>10th ELA</t>
  </si>
  <si>
    <t>10th Science</t>
  </si>
  <si>
    <t>10th Social Studies</t>
  </si>
  <si>
    <t>10th Health</t>
  </si>
  <si>
    <t>10th Language</t>
  </si>
  <si>
    <t>10th Special Ed</t>
  </si>
  <si>
    <t>11th Math</t>
  </si>
  <si>
    <t>11th ELA</t>
  </si>
  <si>
    <t>11th Science</t>
  </si>
  <si>
    <t>11th Social Studies</t>
  </si>
  <si>
    <t>11th Drama/Theatre</t>
  </si>
  <si>
    <t>11th Language</t>
  </si>
  <si>
    <t>11th Special Ed</t>
  </si>
  <si>
    <t>12th Math</t>
  </si>
  <si>
    <t>12th ELA</t>
  </si>
  <si>
    <t>12th Social Studies</t>
  </si>
  <si>
    <t>12th Drama/Theatre</t>
  </si>
  <si>
    <t>12th Language</t>
  </si>
  <si>
    <t>12th Special Ed</t>
  </si>
  <si>
    <t>High School Total</t>
  </si>
  <si>
    <t>TOTAL</t>
  </si>
  <si>
    <t>Operations Lead</t>
  </si>
  <si>
    <t>Notes</t>
  </si>
  <si>
    <t>Cash Paid to Vendors</t>
  </si>
  <si>
    <t>PD</t>
  </si>
  <si>
    <t>Governance-related, local board training</t>
  </si>
  <si>
    <t>Banking/Finance</t>
  </si>
  <si>
    <t>Audit</t>
  </si>
  <si>
    <t>CW Associated Audit</t>
  </si>
  <si>
    <t>Banking</t>
  </si>
  <si>
    <t>ACH, Paypal, Square, Etc.</t>
  </si>
  <si>
    <t>Accounting</t>
  </si>
  <si>
    <t>Accounting support; billing hours, products, retainer</t>
  </si>
  <si>
    <t>Human Resources</t>
  </si>
  <si>
    <t>Payroll Fees</t>
  </si>
  <si>
    <t>Ceridien</t>
  </si>
  <si>
    <t>Background Checks</t>
  </si>
  <si>
    <t>Background checks, additional HR services</t>
  </si>
  <si>
    <t>Info Tech</t>
  </si>
  <si>
    <t>IT Support</t>
  </si>
  <si>
    <t>Professional services, on-call IT support</t>
  </si>
  <si>
    <t>IT Software &amp; Services</t>
  </si>
  <si>
    <t>Software, platforms, additional services rendered</t>
  </si>
  <si>
    <t>Supplies supporting platform</t>
  </si>
  <si>
    <t>CRDG-related PD, cultural competency training, 21st century learning (KS)</t>
  </si>
  <si>
    <t>Curriculum Materials</t>
  </si>
  <si>
    <t>Teacher Materials</t>
  </si>
  <si>
    <t>CRDG, other</t>
  </si>
  <si>
    <t>Classroom Tech</t>
  </si>
  <si>
    <t>Instructional Equipment</t>
  </si>
  <si>
    <t>Xerox machine, service, Smart Board, etc.</t>
  </si>
  <si>
    <t>Testing Platform</t>
  </si>
  <si>
    <t>Uniforms</t>
  </si>
  <si>
    <t>School uniforms (t-shirts, pull-over)</t>
  </si>
  <si>
    <t>Gear</t>
  </si>
  <si>
    <t>Network &amp; Telecom</t>
  </si>
  <si>
    <t>Custodial Services</t>
  </si>
  <si>
    <t>Cleaning, supplies</t>
  </si>
  <si>
    <t>Maintenance, Repair</t>
  </si>
  <si>
    <t>Maintenance of grounds, small repairs (no CAPX)</t>
  </si>
  <si>
    <t>Diagnostic and growth-assessments aligned to RTI</t>
  </si>
  <si>
    <t>Additional materials corresponding with services; will consider summer pre-assessment services</t>
  </si>
  <si>
    <t>Free breakfast &amp; lunch for all students; calculation (180 days, 100 students, $2 breakfast, $3 lunch)</t>
  </si>
  <si>
    <t>Year 0
(17-18)</t>
  </si>
  <si>
    <t>Anticipated Student Population</t>
  </si>
  <si>
    <t>6th grade</t>
  </si>
  <si>
    <t>7th grade</t>
  </si>
  <si>
    <t>8th grade</t>
  </si>
  <si>
    <t>9th grade</t>
  </si>
  <si>
    <t>10th grade</t>
  </si>
  <si>
    <t>11th grade</t>
  </si>
  <si>
    <t>12th grade</t>
  </si>
  <si>
    <t>-</t>
  </si>
  <si>
    <t>Calendar Year</t>
  </si>
  <si>
    <t>Grade Added</t>
  </si>
  <si>
    <t>School Life Year</t>
  </si>
  <si>
    <t>Castle Foundation</t>
  </si>
  <si>
    <t>The Kellogg Foundation</t>
  </si>
  <si>
    <t>The Weinberg Foundation</t>
  </si>
  <si>
    <t>The Case Foundation</t>
  </si>
  <si>
    <t>McInerny Foundation</t>
  </si>
  <si>
    <t>GN Wilcox Foundation</t>
  </si>
  <si>
    <t>Strong Foundation</t>
  </si>
  <si>
    <t>Atherton Foundation</t>
  </si>
  <si>
    <t>FICOH Foundation</t>
  </si>
  <si>
    <t>Kamehameha Schools</t>
  </si>
  <si>
    <t>Office of Hawaiian Affairs</t>
  </si>
  <si>
    <t>Native Hawaiian Education Council</t>
  </si>
  <si>
    <t>Hawai‘i State Grants in Aid</t>
  </si>
  <si>
    <t>Assumptions</t>
  </si>
  <si>
    <t>Can Change</t>
  </si>
  <si>
    <t>2017-18</t>
  </si>
  <si>
    <t>2018-19</t>
  </si>
  <si>
    <t>2019-20</t>
  </si>
  <si>
    <t>Do Not Change</t>
  </si>
  <si>
    <t>Free</t>
  </si>
  <si>
    <t>Reduced</t>
  </si>
  <si>
    <t>STUDENTS</t>
  </si>
  <si>
    <t>Reimburseable Meals</t>
  </si>
  <si>
    <t>Title I / student</t>
  </si>
  <si>
    <t>REVENUES</t>
  </si>
  <si>
    <t>Fundraising Goal Reached</t>
  </si>
  <si>
    <t>State Per Pupil</t>
  </si>
  <si>
    <t>Revolving Credit Facility</t>
  </si>
  <si>
    <t>Federal Title I</t>
  </si>
  <si>
    <t>Federal Meal Reimbursement</t>
  </si>
  <si>
    <t>Fundraising &amp; Additional Sources</t>
  </si>
  <si>
    <t>TOTAL EXPENSES</t>
  </si>
  <si>
    <t>RETAINED EARNINGS</t>
  </si>
  <si>
    <t>Surplus / Deficit</t>
  </si>
  <si>
    <t>% Budget Covered by State &amp; Federal</t>
  </si>
  <si>
    <t>Minimum Additional Need to Meet Budget</t>
  </si>
  <si>
    <t>SCENARIOS</t>
  </si>
  <si>
    <t>Target</t>
  </si>
  <si>
    <t>Goal Seek (Minimum Students Per Year)</t>
  </si>
  <si>
    <t>Variance Threshold</t>
  </si>
  <si>
    <t>No Fundraising, Student # Needed</t>
  </si>
  <si>
    <t>Sensitivity Model</t>
  </si>
  <si>
    <t>For Fiscal Year July 1, 2017 - June 30, 2020</t>
  </si>
  <si>
    <t>2020-21</t>
  </si>
  <si>
    <t>N/A</t>
  </si>
  <si>
    <t>Factoring 25% Free / 25% Reduced, 90% of students eating a day, 180 days, and reimbursement @ end of year</t>
  </si>
  <si>
    <t>TBD</t>
  </si>
  <si>
    <t>Non-fundraising / non-operating grants awarded by private foundations or corporations.</t>
  </si>
  <si>
    <t>Non-fundraising / non-operating in-kind donations for services that would otherwise have been purchased.</t>
  </si>
  <si>
    <t>Non-fundraising / non-operating one-time donations from individuals or corporations.</t>
  </si>
  <si>
    <t>No changes in net assets / prior year adjustments in initial projection</t>
  </si>
  <si>
    <t>2018-19 SY | Year 1 (launch) (6th)</t>
  </si>
  <si>
    <t>2019-20 SY | Year 2 (6th, 7th)</t>
  </si>
  <si>
    <t>2020-21 SY | Year 3 (6th, 7th, 8th)</t>
  </si>
  <si>
    <t>Title I [$419/student/50%FRL] + Food Reimburement [(Breakfast/Lunch) 100 students @ 25% Free (1.99/3.69) and 25% Reduced (1.69/3.29); 90% eat/day] = $20,950 + $20,170</t>
  </si>
  <si>
    <t>Title I [$419/student/50%FRL] + Food Reimburement [(Breakfast/Lunch) 200 students @ 25% Free (1.99/3.69) and 25% Reduced (1.69/3.29); 90% eat/day] = $41,900 + $40,339</t>
  </si>
  <si>
    <t>Title I [$419/student/50%FRL] + Food Reimburement [(Breakfast/Lunch) 300 students @ 25% Free (1.99/3.69) and 25% Reduced (1.69/3.29); 90% eat/day] = $62,850 + $60,508</t>
  </si>
  <si>
    <t>ANNUAL IG / CORP / ORG FUNDRAISING | Ongoing donations from individuals, businesses, or corporations.</t>
  </si>
  <si>
    <t>Board materials, board marketing materials, additional supplies</t>
  </si>
  <si>
    <t>Comments / Notes</t>
  </si>
  <si>
    <t>Y0 = $2,000 stipend / Y1-3 salary for operations lead</t>
  </si>
  <si>
    <t>CAN CHANGE THESE #s / these drive Budget Function Expense tab</t>
  </si>
  <si>
    <t>Linked to Cash Paid to Vendors Tab (i.e. audit, Square fees, accountaing supports)</t>
  </si>
  <si>
    <t>Linked to Cash Paid to Vendors Tab (Payroll fees, background checks, other HR)</t>
  </si>
  <si>
    <t>We currently have pro-bono counsel in addition to a board member who is a practicing attorney in Honolulu</t>
  </si>
  <si>
    <t>IT Specific Supplies</t>
  </si>
  <si>
    <t>Water bottles, stickers, pens, promo items, etc.</t>
  </si>
  <si>
    <t xml:space="preserve">    Other: Dues, Licenses, Permits</t>
  </si>
  <si>
    <t>Office Items</t>
  </si>
  <si>
    <t>Administrative and office-related supplies</t>
  </si>
  <si>
    <t>On-island travel, to/from meetings (town/Ewa Beach), food, meeting expenses, staff PD</t>
  </si>
  <si>
    <t>Uniforms, DreamHouse swag, office materials</t>
  </si>
  <si>
    <t>Stipend Structure</t>
  </si>
  <si>
    <t>Months</t>
  </si>
  <si>
    <t>Jan</t>
  </si>
  <si>
    <t>Feb</t>
  </si>
  <si>
    <t>Mar</t>
  </si>
  <si>
    <t>Apr</t>
  </si>
  <si>
    <t>Jun</t>
  </si>
  <si>
    <t>Ops Lead</t>
  </si>
  <si>
    <t>Special Ed Lead</t>
  </si>
  <si>
    <t>$ / hr:</t>
  </si>
  <si>
    <t>Hrs / wk</t>
  </si>
  <si>
    <t>Y0: stipend-based / Y1-3 salaries, pulled from Personnel Breakout</t>
  </si>
  <si>
    <t>Travel, reimbursements, additional expenses for LST ($400 / mo)</t>
  </si>
  <si>
    <t>Founding MA</t>
  </si>
  <si>
    <t>Founding ELA</t>
  </si>
  <si>
    <t>Founding SCI</t>
  </si>
  <si>
    <t>Founding SS</t>
  </si>
  <si>
    <t>Founding HS/P</t>
  </si>
  <si>
    <t>UH Mānoa &amp; UH West Oahu student teacher supports begin July 2018; unpaid</t>
  </si>
  <si>
    <t>CRDG text and supporting materials ($250 / new student)</t>
  </si>
  <si>
    <t>PD-related expenses, food, space rental, reimbursement</t>
  </si>
  <si>
    <t>Linked to Cash Paid to Vendors Tab (i.e. professional services, on-call support, software, platforms, databases)</t>
  </si>
  <si>
    <t>Linked to Cash Paid to Vendors Tab (CRDG-related PD, cultural competency training, 21st century learning)</t>
  </si>
  <si>
    <t>Linked to Cash Paid to Vendors Tab (i.e. diagnostic and growth-assessments aligned to RTI)</t>
  </si>
  <si>
    <t>Linked to Cash Paid to Vendors Tab (CRDG materials for supporting 100 students; $250/student)</t>
  </si>
  <si>
    <t>Linked to Cash Paid to Vendors Tab - Teaching materials (CRDG, texts, programs, etc.)</t>
  </si>
  <si>
    <t>Linked to Cash Paid to Vendors Tab - Xerox machine lease, service, paper, Smart Board, etc.</t>
  </si>
  <si>
    <t>Linked to Cash Paid to Vendors Tab - Laptop, iPad, tech services, classroom software</t>
  </si>
  <si>
    <t>Linked to Cash Paid to Vendors Tab - Licenses and permits (e.g. Infinite Campus)</t>
  </si>
  <si>
    <t>Instructional Software</t>
  </si>
  <si>
    <t>Licenses and permits (e.g. Infinite Campus)</t>
  </si>
  <si>
    <t>Hard installation costs &amp; maintenance</t>
  </si>
  <si>
    <t>WIFI, internet ($200/mo.) (hard installation &amp; equipment costs below, line 430)</t>
  </si>
  <si>
    <t>WIFI, internet ($200/mo.)</t>
  </si>
  <si>
    <t>$1,000 / mo. Projection</t>
  </si>
  <si>
    <t>Y0 rolled in renovation cost; Y1-3 @ $500/mo.</t>
  </si>
  <si>
    <t>Renting space, not owning</t>
  </si>
  <si>
    <t>$3,000/month</t>
  </si>
  <si>
    <t>Miscellaneous equipment rental for upgrades and renovations</t>
  </si>
  <si>
    <t>Materials, Equipment &amp; Technology</t>
  </si>
  <si>
    <t>Testing</t>
  </si>
  <si>
    <t>Professional Development</t>
  </si>
  <si>
    <t>Other Admin</t>
  </si>
  <si>
    <t>School Board</t>
  </si>
  <si>
    <t>Plant (Ops / Maintenance)</t>
  </si>
  <si>
    <t>Custodial service &amp; supplies @ $1,000 / mo.</t>
  </si>
  <si>
    <t>No debt.</t>
  </si>
  <si>
    <t>No per pupil funds during Y0 (start up)</t>
  </si>
  <si>
    <t>Cash used by operations; evenly distrubted over 12 month period</t>
  </si>
  <si>
    <t>Desks, chairs, and necessary fixed items for the school</t>
  </si>
  <si>
    <t>Other: Borrow / Lease Furniture &amp; Equipment</t>
  </si>
  <si>
    <t>Capitalized assets (furniture, fixtures, equipment, etc.) - plan is to borrow / rent, but if purchase is necessary, $25k from plant ops/maint will be transferred here</t>
  </si>
  <si>
    <t>Anticipated fundraising (renew + new) of $100k during 2018 holiday season</t>
  </si>
  <si>
    <t>Anticipated fundraising (renew + new) of $100k during 2019 holiday season</t>
  </si>
  <si>
    <t>Anticipated fundraising (renew + new) of $100k during 2020 holiday season</t>
  </si>
  <si>
    <t>Includes $25k / year invested into rental / use of capitalized assets (student desks, etc.); not factored as purchase / investment activity as of now</t>
  </si>
  <si>
    <t xml:space="preserve"> NAME:  </t>
  </si>
  <si>
    <t>As of June 30, 2021</t>
  </si>
  <si>
    <t>School Year</t>
  </si>
  <si>
    <t>NEED TO UPDATE</t>
  </si>
  <si>
    <t>Fiscal Year End</t>
  </si>
  <si>
    <t>Y0 $50,000 renovation (quoted); Y1,2,3 licenses / permits</t>
  </si>
  <si>
    <t>^ can change %</t>
  </si>
  <si>
    <t>Costs for purchase of land and building inclusive of remodeling, reconditioning, or altering the building.</t>
  </si>
  <si>
    <t>Additional Highlights / Notes</t>
  </si>
  <si>
    <t>Cash balance, end of period</t>
  </si>
  <si>
    <t>Will spend all grants; state / fed dollars roll into R.E.</t>
  </si>
  <si>
    <t>NO DEBT!</t>
  </si>
  <si>
    <t>Facility lease will be considered "operating lease"; DH will not have ownership rights of the facility / space.</t>
  </si>
  <si>
    <t>Anticipating coverage of expenses in current fiscal year</t>
  </si>
  <si>
    <t>Per Pupil residual factored into cash / cash equivalent</t>
  </si>
  <si>
    <t>Title I reimbursements for current school year factored into cash / cash equivalent</t>
  </si>
  <si>
    <t>Multi-year foundation renew / commitments for following school year TBD; annual dollars accounted for in line 1</t>
  </si>
  <si>
    <t>IG / Corp renew &amp; annual fundraising efforts for following school year TBD; annual dollars accounted for in line 1</t>
  </si>
  <si>
    <t>Fundriasing Targets:</t>
  </si>
  <si>
    <t>Local Foundation</t>
  </si>
  <si>
    <t>Local Individual</t>
  </si>
  <si>
    <t>Local Unique</t>
  </si>
  <si>
    <t>Mainland Foundation</t>
  </si>
  <si>
    <t>Mainland Individual</t>
  </si>
  <si>
    <t>Mainland Unique</t>
  </si>
  <si>
    <t>Fundraising Landscape (Years 0-3)</t>
  </si>
  <si>
    <t>Form A4</t>
  </si>
  <si>
    <t>Statement of Net Assets (Balance Sheet) Projected</t>
  </si>
  <si>
    <t>U.S. Dept. of Ag.</t>
  </si>
  <si>
    <t>FHB Foundation</t>
  </si>
  <si>
    <t>CPB Foundation</t>
  </si>
  <si>
    <t>Cades Schutte Foundation</t>
  </si>
  <si>
    <t>Ritchie &amp; Sunny Mudd (Committed)</t>
  </si>
  <si>
    <t>Founding Team personal networks</t>
  </si>
  <si>
    <t>U.S. DOE Start-Up Grant</t>
  </si>
  <si>
    <r>
      <rPr>
        <b/>
        <i/>
        <sz val="10"/>
        <color theme="1"/>
        <rFont val="Arial"/>
      </rPr>
      <t>Note:</t>
    </r>
    <r>
      <rPr>
        <i/>
        <sz val="10"/>
        <color theme="1"/>
        <rFont val="Arial"/>
      </rPr>
      <t xml:space="preserve"> these numbers inform "local cash receipts" on the cash flow tabs; fundraising efforts will draw from foundations, individuals, and entities listed on this page.</t>
    </r>
  </si>
  <si>
    <t>Middle School Lead (Asst. SD)</t>
  </si>
  <si>
    <t>24-25</t>
  </si>
  <si>
    <t>Start-Up Year</t>
  </si>
  <si>
    <t>Year 2 (6,7)</t>
  </si>
  <si>
    <t>Year 1 (6)</t>
  </si>
  <si>
    <t>Year 3 (6,7,8)</t>
  </si>
  <si>
    <t>Pre Fundraising Balance</t>
  </si>
  <si>
    <t>(+) Anticipated State &amp; Federal Funding</t>
  </si>
  <si>
    <t>(-) Projected Operating Costs</t>
  </si>
  <si>
    <t>(+) Anticipated Fundraising</t>
  </si>
  <si>
    <t>Post Fundraising Balance</t>
  </si>
  <si>
    <t># STUDENTS</t>
  </si>
  <si>
    <t>SCHOOL YEAR</t>
  </si>
  <si>
    <t>CALENDAR YEAR</t>
  </si>
  <si>
    <t>Class III, T03-07</t>
  </si>
  <si>
    <t>^ approximate</t>
  </si>
  <si>
    <t>SECURED:</t>
  </si>
  <si>
    <t>Hawai‘i Community Foundation*</t>
  </si>
  <si>
    <t>Public School Foundation of Hawai‘i*</t>
  </si>
  <si>
    <t>Bank of Hawai‘i Foundation*</t>
  </si>
  <si>
    <t>Campbell Foundation*</t>
  </si>
  <si>
    <t>American Savings Bank Foundation*</t>
  </si>
  <si>
    <t>Charter School Growth Fund*</t>
  </si>
  <si>
    <t>Harvard Alumni Start-Up Funding*</t>
  </si>
  <si>
    <t>TFA Social Innovation &amp; Start-Up Funding*</t>
  </si>
  <si>
    <t>LEE Alumni Start-Up Funding*</t>
  </si>
  <si>
    <t>Partners In Development*</t>
  </si>
  <si>
    <t>Aloha United Way*</t>
  </si>
  <si>
    <t>*Denotes initial funding conversation has already taken place</t>
  </si>
  <si>
    <t>Budget Narrative</t>
  </si>
  <si>
    <t>Volunteering at local events, booths, donations; Ewa Beach community work.</t>
  </si>
  <si>
    <t>Leadership development for founding school board (i.e. local consultant, program)</t>
  </si>
  <si>
    <t>School Director salary $80,000</t>
  </si>
  <si>
    <t>Foundation focus in unrestricted; new grants that may be restricted for certain purposes TBD</t>
  </si>
  <si>
    <t>$50k commitment as of 1/19/2017; anticipated additional fundraising of $50k during the 2017 holiday / giving season</t>
  </si>
  <si>
    <t>Local / mainland foundation and "unique" fundraising; see "funding pool" tab - $300k during 2017-18 SY (pre-open)</t>
  </si>
  <si>
    <t>Includes $25k / year invested into rental or use of capitalized assets (student desks, etc.); not factored as purchase / investment activity as of now</t>
  </si>
  <si>
    <t>2017-18 SY | Year 0 (planning year)</t>
  </si>
  <si>
    <t>Per Pupil funding from the State for 100 students - Jul '18 (60%), Nov '18 (30%), Jun '19 (10%)</t>
  </si>
  <si>
    <t>See "funding pool" tab - $200k year</t>
  </si>
  <si>
    <t>Per Pupil funding from the State for 200 students - Jul '19 (60%), Nov '19 (30%), Jun '20 (10%)</t>
  </si>
  <si>
    <t>See "funding pool" tab - $100k year and exit for foundations; DreamHouse sustainable moving forward</t>
  </si>
  <si>
    <t>No fundraising for operations; separate capital campaign for new facility TBD</t>
  </si>
  <si>
    <t>Per Pupil funding from the State for 300 students - Jul '20 (60%), Nov '20 (30%), Jun '21 (10%)</t>
  </si>
  <si>
    <t>23 (+2)</t>
  </si>
  <si>
    <t>Turner-Agassi*</t>
  </si>
  <si>
    <t>Pacific American Foundation*</t>
  </si>
  <si>
    <t>BOARD MEMBERS (100% GIVE):</t>
  </si>
  <si>
    <t>100% Participation (amount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</si>
</sst>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00#"/>
    <numFmt numFmtId="168" formatCode="_(* #,##0_);_(* \(#,##0\);_(* &quot;-&quot;??_);_(@_)"/>
    <numFmt numFmtId="169" formatCode="_-&quot;$&quot;* #,##0_-;\-&quot;$&quot;* #,##0_-;_-&quot;$&quot;* &quot;-&quot;??_-;_-@_-"/>
    <numFmt numFmtId="170" formatCode="_(* #,##0.0_);_(* \(#,##0.0\);_(* &quot;-&quot;??_);_(@_)"/>
    <numFmt numFmtId="171" formatCode="_-* #,##0_-;\-* #,##0_-;_-* &quot;-&quot;??_-;_-@_-"/>
    <numFmt numFmtId="172" formatCode="_(&quot;$&quot;* #,##0_);_(&quot;$&quot;* \(#,##0\);_(&quot;$&quot;* &quot;-&quot;??_);_(@_)"/>
    <numFmt numFmtId="173" formatCode="[$-409]mmmm\ d\,\ yyyy;@"/>
  </numFmts>
  <fonts count="65" x14ac:knownFonts="1">
    <font>
      <sz val="10"/>
      <name val="Arial"/>
      <family val="2"/>
    </font>
    <font>
      <sz val="12"/>
      <color theme="1"/>
      <name val="Calibri"/>
      <family val="2"/>
      <scheme val="minor"/>
    </font>
    <font>
      <sz val="11"/>
      <color theme="1"/>
      <name val="Calibri"/>
      <family val="2"/>
      <scheme val="minor"/>
    </font>
    <font>
      <sz val="10"/>
      <name val="Arial"/>
      <family val="2"/>
    </font>
    <font>
      <sz val="9"/>
      <name val="Arial"/>
      <family val="2"/>
    </font>
    <font>
      <sz val="8"/>
      <name val="Helv"/>
    </font>
    <font>
      <b/>
      <sz val="9"/>
      <name val="Arial"/>
      <family val="2"/>
    </font>
    <font>
      <b/>
      <sz val="10"/>
      <name val="Arial"/>
      <family val="2"/>
    </font>
    <font>
      <b/>
      <sz val="9"/>
      <color theme="4" tint="-0.499984740745262"/>
      <name val="Arial"/>
      <family val="2"/>
    </font>
    <font>
      <b/>
      <sz val="10"/>
      <color rgb="FFFF0000"/>
      <name val="Arial"/>
      <family val="2"/>
    </font>
    <font>
      <sz val="8"/>
      <name val="Arial"/>
      <family val="2"/>
    </font>
    <font>
      <b/>
      <u/>
      <sz val="10"/>
      <color rgb="FFFF0000"/>
      <name val="Arial"/>
      <family val="2"/>
    </font>
    <font>
      <b/>
      <sz val="12"/>
      <name val="Arial"/>
      <family val="2"/>
    </font>
    <font>
      <i/>
      <sz val="9"/>
      <name val="Arial"/>
      <family val="2"/>
    </font>
    <font>
      <b/>
      <sz val="11"/>
      <name val="Arial"/>
      <family val="2"/>
    </font>
    <font>
      <b/>
      <sz val="11"/>
      <color rgb="FFFF0000"/>
      <name val="Arial"/>
      <family val="2"/>
    </font>
    <font>
      <b/>
      <i/>
      <u/>
      <sz val="10"/>
      <name val="Arial"/>
      <family val="2"/>
    </font>
    <font>
      <u/>
      <sz val="10"/>
      <color theme="10"/>
      <name val="Arial"/>
      <family val="2"/>
    </font>
    <font>
      <u/>
      <sz val="10"/>
      <color theme="11"/>
      <name val="Arial"/>
      <family val="2"/>
    </font>
    <font>
      <sz val="10"/>
      <color indexed="10"/>
      <name val="Arial"/>
    </font>
    <font>
      <b/>
      <sz val="10"/>
      <color theme="4" tint="-0.499984740745262"/>
      <name val="Arial"/>
    </font>
    <font>
      <b/>
      <sz val="10"/>
      <color indexed="10"/>
      <name val="Arial"/>
    </font>
    <font>
      <i/>
      <sz val="10"/>
      <name val="Arial"/>
    </font>
    <font>
      <i/>
      <sz val="10"/>
      <color indexed="8"/>
      <name val="Arial"/>
    </font>
    <font>
      <b/>
      <i/>
      <sz val="10"/>
      <name val="Arial"/>
      <family val="2"/>
    </font>
    <font>
      <b/>
      <sz val="10"/>
      <color theme="0"/>
      <name val="Arial"/>
    </font>
    <font>
      <b/>
      <sz val="12"/>
      <color theme="1"/>
      <name val="Calibri"/>
      <family val="2"/>
      <scheme val="minor"/>
    </font>
    <font>
      <b/>
      <u/>
      <sz val="10"/>
      <name val="Arial"/>
    </font>
    <font>
      <i/>
      <sz val="8"/>
      <name val="Arial"/>
    </font>
    <font>
      <sz val="10"/>
      <color theme="0"/>
      <name val="Arial"/>
    </font>
    <font>
      <i/>
      <sz val="12"/>
      <color theme="0"/>
      <name val="Calibri"/>
      <scheme val="minor"/>
    </font>
    <font>
      <b/>
      <u/>
      <sz val="12"/>
      <color theme="0"/>
      <name val="Calibri"/>
      <scheme val="minor"/>
    </font>
    <font>
      <i/>
      <sz val="10"/>
      <color rgb="FFFF0000"/>
      <name val="Arial"/>
    </font>
    <font>
      <i/>
      <sz val="10"/>
      <color theme="0" tint="-0.249977111117893"/>
      <name val="Arial"/>
    </font>
    <font>
      <i/>
      <sz val="10"/>
      <color theme="0"/>
      <name val="Arial"/>
    </font>
    <font>
      <b/>
      <u/>
      <sz val="10"/>
      <color theme="0"/>
      <name val="Arial"/>
    </font>
    <font>
      <b/>
      <sz val="10"/>
      <color theme="1"/>
      <name val="Arial"/>
    </font>
    <font>
      <sz val="10"/>
      <color theme="1"/>
      <name val="Arial"/>
    </font>
    <font>
      <sz val="10"/>
      <color rgb="FF000000"/>
      <name val="Arial"/>
    </font>
    <font>
      <sz val="10"/>
      <color rgb="FFFF0000"/>
      <name val="Arial"/>
    </font>
    <font>
      <b/>
      <i/>
      <sz val="10"/>
      <color theme="0" tint="-0.249977111117893"/>
      <name val="Arial"/>
    </font>
    <font>
      <sz val="9"/>
      <color indexed="81"/>
      <name val="Arial"/>
      <family val="2"/>
    </font>
    <font>
      <b/>
      <sz val="9"/>
      <color indexed="81"/>
      <name val="Arial"/>
      <family val="2"/>
    </font>
    <font>
      <b/>
      <u/>
      <sz val="10"/>
      <color theme="1"/>
      <name val="Arial"/>
    </font>
    <font>
      <sz val="8"/>
      <name val="Helvetica"/>
    </font>
    <font>
      <b/>
      <i/>
      <sz val="11"/>
      <name val="Arial"/>
    </font>
    <font>
      <i/>
      <u/>
      <sz val="10"/>
      <name val="Arial"/>
    </font>
    <font>
      <u/>
      <sz val="10"/>
      <name val="Arial"/>
    </font>
    <font>
      <sz val="10"/>
      <color indexed="8"/>
      <name val="Arial"/>
    </font>
    <font>
      <sz val="10"/>
      <color indexed="12"/>
      <name val="Arial"/>
    </font>
    <font>
      <b/>
      <sz val="10"/>
      <color indexed="12"/>
      <name val="Arial"/>
    </font>
    <font>
      <i/>
      <sz val="10"/>
      <color theme="1"/>
      <name val="Arial"/>
    </font>
    <font>
      <b/>
      <i/>
      <sz val="10"/>
      <color theme="1"/>
      <name val="Arial"/>
    </font>
    <font>
      <i/>
      <sz val="10"/>
      <color theme="0" tint="-0.499984740745262"/>
      <name val="Arial"/>
    </font>
    <font>
      <b/>
      <i/>
      <u/>
      <sz val="10"/>
      <color theme="0" tint="-0.499984740745262"/>
      <name val="Arial"/>
    </font>
    <font>
      <b/>
      <i/>
      <sz val="10"/>
      <color theme="0" tint="-0.499984740745262"/>
      <name val="Arial"/>
    </font>
    <font>
      <i/>
      <u/>
      <sz val="10"/>
      <color theme="0" tint="-0.499984740745262"/>
      <name val="Arial"/>
    </font>
    <font>
      <sz val="12"/>
      <color rgb="FFFF0000"/>
      <name val="Calibri"/>
      <family val="2"/>
      <scheme val="minor"/>
    </font>
    <font>
      <sz val="12"/>
      <name val="Calibri"/>
      <scheme val="minor"/>
    </font>
    <font>
      <b/>
      <sz val="12"/>
      <name val="Calibri"/>
      <scheme val="minor"/>
    </font>
    <font>
      <b/>
      <i/>
      <sz val="12"/>
      <name val="Calibri"/>
      <scheme val="minor"/>
    </font>
    <font>
      <i/>
      <sz val="12"/>
      <name val="Calibri"/>
      <scheme val="minor"/>
    </font>
    <font>
      <u/>
      <sz val="12"/>
      <name val="Calibri"/>
      <scheme val="minor"/>
    </font>
    <font>
      <sz val="12"/>
      <color theme="6"/>
      <name val="Calibri"/>
      <scheme val="minor"/>
    </font>
    <font>
      <b/>
      <sz val="12"/>
      <color theme="6"/>
      <name val="Calibri"/>
      <scheme val="minor"/>
    </font>
  </fonts>
  <fills count="21">
    <fill>
      <patternFill patternType="none"/>
    </fill>
    <fill>
      <patternFill patternType="gray125"/>
    </fill>
    <fill>
      <patternFill patternType="solid">
        <fgColor theme="3" tint="0.59999389629810485"/>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8DB4E2"/>
        <bgColor indexed="64"/>
      </patternFill>
    </fill>
    <fill>
      <patternFill patternType="solid">
        <fgColor rgb="FFC0C0C0"/>
        <bgColor indexed="64"/>
      </patternFill>
    </fill>
    <fill>
      <patternFill patternType="solid">
        <fgColor rgb="FFCCECFF"/>
        <bgColor indexed="64"/>
      </patternFill>
    </fill>
    <fill>
      <patternFill patternType="solid">
        <fgColor theme="3" tint="-0.499984740745262"/>
        <bgColor indexed="64"/>
      </patternFill>
    </fill>
    <fill>
      <patternFill patternType="solid">
        <fgColor theme="0"/>
        <bgColor indexed="64"/>
      </patternFill>
    </fill>
    <fill>
      <patternFill patternType="solid">
        <fgColor rgb="FFFFFF99"/>
        <bgColor rgb="FF000000"/>
      </patternFill>
    </fill>
    <fill>
      <patternFill patternType="solid">
        <fgColor rgb="FF95B3D7"/>
        <bgColor rgb="FF000000"/>
      </patternFill>
    </fill>
    <fill>
      <patternFill patternType="solid">
        <fgColor rgb="FFFFFB99"/>
        <bgColor indexed="64"/>
      </patternFill>
    </fill>
    <fill>
      <patternFill patternType="solid">
        <fgColor theme="3" tint="0.79998168889431442"/>
        <bgColor indexed="64"/>
      </patternFill>
    </fill>
    <fill>
      <patternFill patternType="solid">
        <fgColor rgb="FF8DB4E2"/>
        <bgColor rgb="FF000000"/>
      </patternFill>
    </fill>
    <fill>
      <patternFill patternType="solid">
        <fgColor theme="5"/>
        <bgColor indexed="64"/>
      </patternFill>
    </fill>
    <fill>
      <patternFill patternType="solid">
        <fgColor theme="6"/>
        <bgColor indexed="64"/>
      </patternFill>
    </fill>
  </fills>
  <borders count="33">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23"/>
      </top>
      <bottom/>
      <diagonal/>
    </border>
    <border>
      <left/>
      <right/>
      <top/>
      <bottom style="thin">
        <color indexed="23"/>
      </bottom>
      <diagonal/>
    </border>
    <border>
      <left/>
      <right style="thin">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top style="medium">
        <color auto="1"/>
      </top>
      <bottom style="medium">
        <color auto="1"/>
      </bottom>
      <diagonal/>
    </border>
    <border>
      <left/>
      <right/>
      <top/>
      <bottom style="double">
        <color auto="1"/>
      </bottom>
      <diagonal/>
    </border>
  </borders>
  <cellStyleXfs count="615">
    <xf numFmtId="0" fontId="0" fillId="0" borderId="0"/>
    <xf numFmtId="43" fontId="3" fillId="0" borderId="0" applyFont="0" applyFill="0" applyBorder="0" applyAlignment="0" applyProtection="0"/>
    <xf numFmtId="5" fontId="5" fillId="0" borderId="0"/>
    <xf numFmtId="5" fontId="5" fillId="0" borderId="0"/>
    <xf numFmtId="0" fontId="3"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164" fontId="3"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5" fontId="44" fillId="0" borderId="0"/>
    <xf numFmtId="5" fontId="44" fillId="0" borderId="0"/>
    <xf numFmtId="44" fontId="3"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515">
    <xf numFmtId="0" fontId="0" fillId="0" borderId="0" xfId="0"/>
    <xf numFmtId="168" fontId="0" fillId="0" borderId="0" xfId="1" applyNumberFormat="1" applyFont="1" applyAlignment="1">
      <alignment vertical="center"/>
    </xf>
    <xf numFmtId="168" fontId="3" fillId="0" borderId="0" xfId="1" applyNumberFormat="1" applyFont="1" applyAlignment="1">
      <alignment vertical="center"/>
    </xf>
    <xf numFmtId="168" fontId="3" fillId="0" borderId="0" xfId="1" applyNumberFormat="1" applyFont="1" applyAlignment="1">
      <alignment vertical="center" wrapText="1"/>
    </xf>
    <xf numFmtId="168" fontId="7" fillId="0" borderId="0" xfId="1" applyNumberFormat="1" applyFont="1" applyBorder="1" applyAlignment="1" applyProtection="1">
      <alignment horizontal="left" vertical="center"/>
    </xf>
    <xf numFmtId="168" fontId="3" fillId="0" borderId="0" xfId="1" applyNumberFormat="1" applyFont="1" applyBorder="1" applyAlignment="1" applyProtection="1">
      <alignment vertical="center"/>
    </xf>
    <xf numFmtId="168" fontId="7" fillId="0" borderId="0" xfId="1" applyNumberFormat="1" applyFont="1" applyBorder="1" applyAlignment="1" applyProtection="1">
      <alignment horizontal="right" vertical="center"/>
    </xf>
    <xf numFmtId="168" fontId="20" fillId="3" borderId="0" xfId="1" applyNumberFormat="1" applyFont="1" applyFill="1" applyAlignment="1" applyProtection="1">
      <alignment horizontal="left" vertical="center" wrapText="1"/>
    </xf>
    <xf numFmtId="168" fontId="3" fillId="0" borderId="0" xfId="1" applyNumberFormat="1" applyFont="1" applyAlignment="1" applyProtection="1">
      <alignment horizontal="right" vertical="center"/>
    </xf>
    <xf numFmtId="168" fontId="3" fillId="0" borderId="0" xfId="1" applyNumberFormat="1" applyFont="1" applyBorder="1" applyAlignment="1" applyProtection="1">
      <alignment horizontal="right" vertical="center"/>
    </xf>
    <xf numFmtId="168" fontId="20" fillId="9" borderId="0" xfId="1" applyNumberFormat="1" applyFont="1" applyFill="1" applyAlignment="1" applyProtection="1">
      <alignment horizontal="left" vertical="center" wrapText="1"/>
    </xf>
    <xf numFmtId="168" fontId="20" fillId="10" borderId="0" xfId="1" applyNumberFormat="1" applyFont="1" applyFill="1" applyAlignment="1" applyProtection="1">
      <alignment horizontal="left" vertical="center" wrapText="1"/>
    </xf>
    <xf numFmtId="168" fontId="20" fillId="0" borderId="0" xfId="1" applyNumberFormat="1" applyFont="1" applyFill="1" applyAlignment="1" applyProtection="1">
      <alignment horizontal="left" vertical="center" wrapText="1"/>
    </xf>
    <xf numFmtId="168" fontId="7" fillId="0" borderId="0" xfId="1" applyNumberFormat="1" applyFont="1" applyBorder="1" applyAlignment="1" applyProtection="1">
      <alignment horizontal="center" vertical="center"/>
    </xf>
    <xf numFmtId="168" fontId="3" fillId="0" borderId="0" xfId="1" applyNumberFormat="1" applyFont="1" applyAlignment="1" applyProtection="1">
      <alignment vertical="center"/>
    </xf>
    <xf numFmtId="168" fontId="9" fillId="0" borderId="0" xfId="1" applyNumberFormat="1" applyFont="1" applyFill="1" applyAlignment="1" applyProtection="1">
      <alignment horizontal="left" vertical="center" wrapText="1"/>
    </xf>
    <xf numFmtId="168" fontId="21" fillId="0" borderId="0" xfId="1" applyNumberFormat="1" applyFont="1" applyFill="1" applyAlignment="1" applyProtection="1">
      <alignment horizontal="left" vertical="center" wrapText="1"/>
    </xf>
    <xf numFmtId="168" fontId="7" fillId="0" borderId="0" xfId="1" applyNumberFormat="1" applyFont="1" applyFill="1" applyBorder="1" applyAlignment="1" applyProtection="1">
      <alignment horizontal="center" vertical="center"/>
    </xf>
    <xf numFmtId="168" fontId="7" fillId="0" borderId="7" xfId="1" applyNumberFormat="1" applyFont="1" applyBorder="1" applyAlignment="1" applyProtection="1">
      <alignment horizontal="right" vertical="center"/>
    </xf>
    <xf numFmtId="168" fontId="7" fillId="0" borderId="0" xfId="1" applyNumberFormat="1" applyFont="1" applyBorder="1" applyAlignment="1" applyProtection="1">
      <alignment horizontal="right" vertical="center" wrapText="1"/>
    </xf>
    <xf numFmtId="168" fontId="7" fillId="0" borderId="1" xfId="1" applyNumberFormat="1" applyFont="1" applyBorder="1" applyAlignment="1" applyProtection="1">
      <alignment horizontal="left" vertical="center" wrapText="1"/>
    </xf>
    <xf numFmtId="168" fontId="7" fillId="0" borderId="0" xfId="1" applyNumberFormat="1" applyFont="1" applyFill="1" applyBorder="1" applyAlignment="1" applyProtection="1">
      <alignment horizontal="left" vertical="center"/>
    </xf>
    <xf numFmtId="168" fontId="3" fillId="0" borderId="0" xfId="1" applyNumberFormat="1" applyFont="1" applyFill="1" applyBorder="1" applyAlignment="1" applyProtection="1">
      <alignment horizontal="right" vertical="center"/>
    </xf>
    <xf numFmtId="168" fontId="3" fillId="0" borderId="0" xfId="1" applyNumberFormat="1" applyFont="1" applyFill="1" applyBorder="1" applyAlignment="1" applyProtection="1">
      <alignment vertical="center"/>
    </xf>
    <xf numFmtId="168" fontId="3" fillId="0" borderId="8" xfId="1" applyNumberFormat="1" applyFont="1" applyBorder="1" applyAlignment="1" applyProtection="1">
      <alignment vertical="center"/>
    </xf>
    <xf numFmtId="168" fontId="3" fillId="2" borderId="9" xfId="1" applyNumberFormat="1" applyFont="1" applyFill="1" applyBorder="1" applyAlignment="1" applyProtection="1">
      <alignment horizontal="right" vertical="center"/>
      <protection locked="0"/>
    </xf>
    <xf numFmtId="168" fontId="3" fillId="0" borderId="8" xfId="1" applyNumberFormat="1" applyFont="1" applyBorder="1" applyAlignment="1" applyProtection="1">
      <alignment horizontal="right" vertical="center"/>
    </xf>
    <xf numFmtId="168" fontId="3" fillId="0" borderId="8" xfId="1" applyNumberFormat="1" applyFont="1" applyFill="1" applyBorder="1" applyAlignment="1" applyProtection="1">
      <alignment vertical="center" wrapText="1"/>
    </xf>
    <xf numFmtId="168" fontId="3" fillId="0" borderId="8" xfId="1" applyNumberFormat="1" applyFont="1" applyBorder="1" applyAlignment="1" applyProtection="1">
      <alignment vertical="center" wrapText="1"/>
    </xf>
    <xf numFmtId="168" fontId="3" fillId="2" borderId="9" xfId="1" applyNumberFormat="1" applyFont="1" applyFill="1" applyBorder="1" applyAlignment="1" applyProtection="1">
      <alignment vertical="center"/>
      <protection locked="0"/>
    </xf>
    <xf numFmtId="168" fontId="7" fillId="0" borderId="8" xfId="1" applyNumberFormat="1" applyFont="1" applyFill="1" applyBorder="1" applyAlignment="1" applyProtection="1">
      <alignment vertical="center"/>
    </xf>
    <xf numFmtId="168" fontId="3" fillId="3" borderId="9" xfId="1" applyNumberFormat="1" applyFont="1" applyFill="1" applyBorder="1" applyAlignment="1" applyProtection="1">
      <alignment vertical="center"/>
    </xf>
    <xf numFmtId="168" fontId="3" fillId="0" borderId="0" xfId="1" applyNumberFormat="1" applyFont="1" applyAlignment="1" applyProtection="1">
      <alignment vertical="center" wrapText="1"/>
    </xf>
    <xf numFmtId="168" fontId="7" fillId="0" borderId="0" xfId="1" applyNumberFormat="1" applyFont="1" applyBorder="1" applyAlignment="1" applyProtection="1">
      <alignment vertical="center"/>
    </xf>
    <xf numFmtId="168" fontId="3" fillId="0" borderId="8" xfId="1" applyNumberFormat="1" applyFont="1" applyBorder="1" applyAlignment="1" applyProtection="1">
      <alignment horizontal="left" vertical="center"/>
    </xf>
    <xf numFmtId="168" fontId="3" fillId="3" borderId="9" xfId="1" applyNumberFormat="1" applyFont="1" applyFill="1" applyBorder="1" applyAlignment="1" applyProtection="1">
      <alignment horizontal="right" vertical="center"/>
    </xf>
    <xf numFmtId="168" fontId="7" fillId="0" borderId="8" xfId="1" applyNumberFormat="1" applyFont="1" applyBorder="1" applyAlignment="1" applyProtection="1">
      <alignment vertical="center"/>
    </xf>
    <xf numFmtId="168" fontId="3" fillId="0" borderId="0" xfId="1" applyNumberFormat="1" applyFont="1" applyBorder="1" applyAlignment="1" applyProtection="1">
      <alignment horizontal="left" vertical="center"/>
    </xf>
    <xf numFmtId="168" fontId="3" fillId="0" borderId="0" xfId="1" applyNumberFormat="1" applyFont="1" applyFill="1" applyAlignment="1" applyProtection="1">
      <alignment vertical="center"/>
    </xf>
    <xf numFmtId="168" fontId="7" fillId="0" borderId="0" xfId="1" applyNumberFormat="1" applyFont="1" applyFill="1" applyBorder="1" applyAlignment="1" applyProtection="1">
      <alignment vertical="center"/>
    </xf>
    <xf numFmtId="168" fontId="3" fillId="0" borderId="0" xfId="1" applyNumberFormat="1" applyFont="1" applyFill="1" applyAlignment="1" applyProtection="1">
      <alignment vertical="center" wrapText="1"/>
    </xf>
    <xf numFmtId="168" fontId="3" fillId="0" borderId="8" xfId="1" applyNumberFormat="1" applyFont="1" applyFill="1" applyBorder="1" applyAlignment="1" applyProtection="1">
      <alignment vertical="center"/>
    </xf>
    <xf numFmtId="168" fontId="3" fillId="8" borderId="9" xfId="1" applyNumberFormat="1" applyFont="1" applyFill="1" applyBorder="1" applyAlignment="1" applyProtection="1">
      <alignment vertical="center"/>
      <protection locked="0"/>
    </xf>
    <xf numFmtId="168" fontId="3" fillId="0" borderId="8" xfId="1" applyNumberFormat="1" applyFont="1" applyFill="1" applyBorder="1" applyAlignment="1" applyProtection="1">
      <alignment horizontal="left" vertical="center"/>
    </xf>
    <xf numFmtId="168" fontId="3" fillId="0" borderId="0" xfId="1" applyNumberFormat="1" applyFont="1" applyFill="1" applyBorder="1" applyAlignment="1" applyProtection="1">
      <alignment horizontal="left" vertical="center"/>
    </xf>
    <xf numFmtId="168" fontId="3" fillId="5" borderId="1" xfId="1" applyNumberFormat="1" applyFont="1" applyFill="1" applyBorder="1" applyAlignment="1" applyProtection="1">
      <alignment vertical="center"/>
      <protection locked="0"/>
    </xf>
    <xf numFmtId="168" fontId="3" fillId="8" borderId="9" xfId="1" applyNumberFormat="1" applyFont="1" applyFill="1" applyBorder="1" applyAlignment="1" applyProtection="1">
      <alignment horizontal="right" vertical="center"/>
      <protection locked="0"/>
    </xf>
    <xf numFmtId="168" fontId="22" fillId="0" borderId="0" xfId="1" applyNumberFormat="1" applyFont="1" applyBorder="1" applyAlignment="1" applyProtection="1">
      <alignment horizontal="right" vertical="center"/>
    </xf>
    <xf numFmtId="168" fontId="23" fillId="0" borderId="0" xfId="1" applyNumberFormat="1" applyFont="1" applyBorder="1" applyAlignment="1" applyProtection="1">
      <alignment vertical="center"/>
    </xf>
    <xf numFmtId="168" fontId="9" fillId="0" borderId="0" xfId="1" applyNumberFormat="1" applyFont="1" applyBorder="1" applyAlignment="1" applyProtection="1">
      <alignment vertical="center"/>
    </xf>
    <xf numFmtId="168" fontId="0" fillId="0" borderId="8" xfId="1" applyNumberFormat="1" applyFont="1" applyBorder="1" applyAlignment="1" applyProtection="1">
      <alignment vertical="center" wrapText="1"/>
    </xf>
    <xf numFmtId="169" fontId="3" fillId="0" borderId="0" xfId="11" applyNumberFormat="1" applyFont="1" applyAlignment="1">
      <alignment vertical="center"/>
    </xf>
    <xf numFmtId="168" fontId="7" fillId="0" borderId="0" xfId="1" applyNumberFormat="1" applyFont="1" applyAlignment="1">
      <alignment vertical="center"/>
    </xf>
    <xf numFmtId="168" fontId="19" fillId="0" borderId="0" xfId="1" applyNumberFormat="1" applyFont="1" applyFill="1" applyBorder="1" applyAlignment="1" applyProtection="1">
      <alignment horizontal="center" vertical="center"/>
    </xf>
    <xf numFmtId="169" fontId="3" fillId="0" borderId="0" xfId="11" applyNumberFormat="1" applyFont="1" applyBorder="1" applyAlignment="1" applyProtection="1">
      <alignment horizontal="right" vertical="center"/>
    </xf>
    <xf numFmtId="9" fontId="3" fillId="0" borderId="0" xfId="12" applyFont="1" applyBorder="1" applyAlignment="1" applyProtection="1">
      <alignment horizontal="right" vertical="center"/>
    </xf>
    <xf numFmtId="168" fontId="0" fillId="0" borderId="8" xfId="1" applyNumberFormat="1" applyFont="1" applyFill="1" applyBorder="1" applyAlignment="1" applyProtection="1">
      <alignment vertical="center" wrapText="1"/>
    </xf>
    <xf numFmtId="168" fontId="7" fillId="0" borderId="0" xfId="1" applyNumberFormat="1" applyFont="1" applyAlignment="1">
      <alignment horizontal="right" vertical="center"/>
    </xf>
    <xf numFmtId="0" fontId="0" fillId="0" borderId="0" xfId="0" applyFont="1" applyBorder="1" applyAlignment="1" applyProtection="1">
      <alignment vertical="center"/>
    </xf>
    <xf numFmtId="5" fontId="7" fillId="0" borderId="0" xfId="2" applyFont="1" applyBorder="1" applyAlignment="1" applyProtection="1">
      <alignment horizontal="right" vertical="center"/>
    </xf>
    <xf numFmtId="0" fontId="7" fillId="0" borderId="0" xfId="2" applyNumberFormat="1" applyFont="1" applyFill="1" applyBorder="1" applyAlignment="1" applyProtection="1">
      <alignment vertical="center"/>
    </xf>
    <xf numFmtId="166" fontId="0" fillId="0" borderId="0" xfId="0" applyNumberFormat="1" applyFont="1" applyBorder="1" applyAlignment="1" applyProtection="1">
      <alignment horizontal="center" vertical="center"/>
    </xf>
    <xf numFmtId="0" fontId="20" fillId="3" borderId="0" xfId="0" applyFont="1" applyFill="1" applyAlignment="1" applyProtection="1">
      <alignment horizontal="left" vertical="center" wrapText="1"/>
    </xf>
    <xf numFmtId="0" fontId="0" fillId="0" borderId="0" xfId="0" applyFont="1" applyAlignment="1" applyProtection="1">
      <alignment vertical="center"/>
    </xf>
    <xf numFmtId="0" fontId="0" fillId="0" borderId="0" xfId="0" applyNumberFormat="1" applyFont="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49" fontId="0" fillId="0" borderId="0" xfId="0" applyNumberFormat="1" applyFont="1" applyBorder="1" applyAlignment="1" applyProtection="1">
      <alignment horizontal="left" vertical="center"/>
    </xf>
    <xf numFmtId="0" fontId="20" fillId="9" borderId="0" xfId="0" applyFont="1" applyFill="1" applyAlignment="1" applyProtection="1">
      <alignment horizontal="left" vertical="center" wrapText="1"/>
    </xf>
    <xf numFmtId="0" fontId="7" fillId="0" borderId="0" xfId="0" applyFont="1" applyBorder="1" applyAlignment="1" applyProtection="1">
      <alignment vertical="center"/>
    </xf>
    <xf numFmtId="0" fontId="20" fillId="10" borderId="0" xfId="0" applyFont="1" applyFill="1" applyAlignment="1" applyProtection="1">
      <alignment horizontal="left" vertical="center" wrapText="1"/>
    </xf>
    <xf numFmtId="0" fontId="7" fillId="0" borderId="0" xfId="0" applyFont="1" applyBorder="1" applyAlignment="1" applyProtection="1">
      <alignment horizontal="center"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49" fontId="0" fillId="0" borderId="0" xfId="0" applyNumberFormat="1" applyFont="1" applyFill="1" applyBorder="1" applyAlignment="1" applyProtection="1">
      <alignment horizontal="left" vertical="center"/>
    </xf>
    <xf numFmtId="0" fontId="7" fillId="0" borderId="0" xfId="0" applyFont="1" applyBorder="1" applyAlignment="1" applyProtection="1">
      <alignment horizontal="right" vertical="center"/>
    </xf>
    <xf numFmtId="5" fontId="7" fillId="0" borderId="0" xfId="3" applyFont="1" applyBorder="1" applyAlignment="1" applyProtection="1">
      <alignment horizontal="center" vertical="center"/>
    </xf>
    <xf numFmtId="5" fontId="0" fillId="0" borderId="0" xfId="3" applyFont="1" applyBorder="1" applyAlignment="1" applyProtection="1">
      <alignment vertical="center"/>
    </xf>
    <xf numFmtId="49" fontId="7" fillId="0" borderId="0" xfId="0" applyNumberFormat="1"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8" xfId="0" applyFont="1" applyBorder="1" applyAlignment="1" applyProtection="1">
      <alignment horizontal="left" vertical="center"/>
    </xf>
    <xf numFmtId="0" fontId="0" fillId="0" borderId="8" xfId="0" applyFont="1" applyBorder="1" applyAlignment="1" applyProtection="1">
      <alignment horizontal="center" vertical="center"/>
    </xf>
    <xf numFmtId="0" fontId="0" fillId="0" borderId="8" xfId="0" applyFont="1" applyBorder="1" applyAlignment="1" applyProtection="1">
      <alignment vertical="center"/>
    </xf>
    <xf numFmtId="0" fontId="7" fillId="0" borderId="8" xfId="0" applyFont="1" applyBorder="1" applyAlignment="1" applyProtection="1">
      <alignment horizontal="left" vertical="center" wrapText="1"/>
    </xf>
    <xf numFmtId="49" fontId="7" fillId="0" borderId="0" xfId="0" applyNumberFormat="1" applyFont="1" applyBorder="1" applyAlignment="1" applyProtection="1">
      <alignment horizontal="left" vertical="center"/>
    </xf>
    <xf numFmtId="0" fontId="0" fillId="0" borderId="8" xfId="0" applyFont="1" applyBorder="1" applyAlignment="1" applyProtection="1">
      <alignment vertical="center" wrapText="1"/>
    </xf>
    <xf numFmtId="167" fontId="0" fillId="0" borderId="8" xfId="0" applyNumberFormat="1" applyFont="1" applyBorder="1" applyAlignment="1" applyProtection="1">
      <alignment horizontal="left" vertical="center"/>
    </xf>
    <xf numFmtId="167" fontId="0" fillId="0" borderId="8" xfId="0" applyNumberFormat="1" applyFont="1" applyBorder="1" applyAlignment="1" applyProtection="1">
      <alignment horizontal="center" vertical="center"/>
    </xf>
    <xf numFmtId="37" fontId="0" fillId="0" borderId="8" xfId="0" applyNumberFormat="1"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0" fillId="0" borderId="12" xfId="0" applyFont="1" applyBorder="1" applyAlignment="1" applyProtection="1">
      <alignment horizontal="left" vertical="center"/>
    </xf>
    <xf numFmtId="0" fontId="0" fillId="0" borderId="12" xfId="0" applyFont="1" applyBorder="1" applyAlignment="1" applyProtection="1">
      <alignment horizontal="center" vertical="center"/>
    </xf>
    <xf numFmtId="0" fontId="0" fillId="0" borderId="12" xfId="0" applyFont="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13" xfId="0" applyFont="1" applyBorder="1" applyAlignment="1" applyProtection="1">
      <alignment horizontal="center" vertical="center"/>
    </xf>
    <xf numFmtId="0" fontId="0" fillId="0" borderId="13" xfId="0" applyFont="1" applyBorder="1" applyAlignment="1" applyProtection="1">
      <alignment vertical="center"/>
    </xf>
    <xf numFmtId="0" fontId="7" fillId="0" borderId="13" xfId="0" applyFont="1" applyBorder="1" applyAlignment="1" applyProtection="1">
      <alignment horizontal="left" vertical="center" wrapText="1"/>
    </xf>
    <xf numFmtId="0" fontId="0" fillId="0" borderId="8" xfId="0" applyFont="1" applyFill="1" applyBorder="1" applyAlignment="1" applyProtection="1">
      <alignment vertical="center" wrapText="1"/>
    </xf>
    <xf numFmtId="0" fontId="0" fillId="0" borderId="8" xfId="0" applyFont="1" applyFill="1" applyBorder="1" applyAlignment="1" applyProtection="1">
      <alignment horizontal="left" vertical="center"/>
    </xf>
    <xf numFmtId="0" fontId="0" fillId="0" borderId="0" xfId="0" applyFont="1" applyFill="1" applyAlignment="1" applyProtection="1">
      <alignment vertical="center"/>
    </xf>
    <xf numFmtId="0" fontId="0" fillId="0" borderId="8" xfId="0" applyFont="1" applyFill="1" applyBorder="1" applyAlignment="1" applyProtection="1">
      <alignment horizontal="center" vertical="center"/>
    </xf>
    <xf numFmtId="5" fontId="0" fillId="0" borderId="8" xfId="3" applyFont="1" applyBorder="1" applyAlignment="1" applyProtection="1">
      <alignment vertical="center" wrapText="1"/>
    </xf>
    <xf numFmtId="5" fontId="0" fillId="0" borderId="8" xfId="3" applyFont="1" applyFill="1" applyBorder="1" applyAlignment="1" applyProtection="1">
      <alignment vertical="center" wrapText="1"/>
    </xf>
    <xf numFmtId="0" fontId="0" fillId="0" borderId="0" xfId="0" applyNumberFormat="1" applyFont="1" applyAlignment="1" applyProtection="1">
      <alignment horizontal="right" vertical="center"/>
    </xf>
    <xf numFmtId="37" fontId="0" fillId="0" borderId="0" xfId="0" applyNumberFormat="1" applyFont="1" applyFill="1" applyBorder="1" applyAlignment="1" applyProtection="1">
      <alignment vertical="center"/>
    </xf>
    <xf numFmtId="37" fontId="0" fillId="0" borderId="0" xfId="0" applyNumberFormat="1" applyFont="1" applyFill="1" applyBorder="1" applyAlignment="1" applyProtection="1">
      <alignment vertical="center" wrapText="1"/>
    </xf>
    <xf numFmtId="0" fontId="0" fillId="0" borderId="0" xfId="0" applyFont="1" applyAlignment="1" applyProtection="1">
      <alignment horizontal="center" vertical="center"/>
    </xf>
    <xf numFmtId="0" fontId="0" fillId="0" borderId="0" xfId="0" applyFont="1" applyBorder="1" applyAlignment="1" applyProtection="1">
      <alignment vertical="center" wrapText="1"/>
    </xf>
    <xf numFmtId="166" fontId="0" fillId="0" borderId="0" xfId="0" applyNumberFormat="1" applyFont="1" applyAlignment="1" applyProtection="1">
      <alignment horizontal="center" vertical="center"/>
    </xf>
    <xf numFmtId="0" fontId="0" fillId="0" borderId="0" xfId="0" applyFont="1" applyAlignment="1" applyProtection="1">
      <alignment vertical="center" wrapText="1"/>
    </xf>
    <xf numFmtId="0" fontId="0" fillId="0" borderId="0" xfId="0" applyFont="1" applyAlignment="1" applyProtection="1">
      <alignment horizontal="left" vertical="center"/>
    </xf>
    <xf numFmtId="0" fontId="7" fillId="0" borderId="0" xfId="0" applyFont="1" applyBorder="1" applyAlignment="1" applyProtection="1">
      <alignment horizontal="left" vertical="center"/>
    </xf>
    <xf numFmtId="0" fontId="24" fillId="0" borderId="0" xfId="0" applyFont="1" applyBorder="1" applyAlignment="1" applyProtection="1">
      <alignment vertical="center"/>
    </xf>
    <xf numFmtId="0" fontId="0" fillId="2" borderId="0" xfId="0" applyFont="1" applyFill="1" applyBorder="1" applyAlignment="1" applyProtection="1">
      <alignment vertical="center"/>
    </xf>
    <xf numFmtId="0" fontId="7" fillId="0" borderId="0" xfId="0" applyNumberFormat="1" applyFont="1" applyBorder="1" applyAlignment="1" applyProtection="1">
      <alignment horizontal="center" vertical="center"/>
    </xf>
    <xf numFmtId="0" fontId="0" fillId="0" borderId="0" xfId="0" applyNumberFormat="1" applyFont="1" applyBorder="1" applyAlignment="1" applyProtection="1">
      <alignment horizontal="center" vertical="center"/>
    </xf>
    <xf numFmtId="0" fontId="0" fillId="0" borderId="0" xfId="0" applyNumberFormat="1" applyFont="1" applyAlignment="1" applyProtection="1">
      <alignment horizontal="center" vertical="center"/>
    </xf>
    <xf numFmtId="0" fontId="0" fillId="0" borderId="0" xfId="0" applyNumberFormat="1" applyFont="1" applyFill="1" applyBorder="1" applyAlignment="1" applyProtection="1">
      <alignment horizontal="center" vertical="center"/>
    </xf>
    <xf numFmtId="0" fontId="24" fillId="0" borderId="0" xfId="0" applyFont="1" applyBorder="1" applyAlignment="1" applyProtection="1">
      <alignment horizontal="center" vertical="center"/>
    </xf>
    <xf numFmtId="0" fontId="25" fillId="12" borderId="0" xfId="0" applyFont="1" applyFill="1" applyBorder="1" applyAlignment="1" applyProtection="1">
      <alignment horizontal="center" vertical="center"/>
    </xf>
    <xf numFmtId="0" fontId="25" fillId="12" borderId="0" xfId="0" applyFont="1" applyFill="1" applyBorder="1" applyAlignment="1" applyProtection="1">
      <alignment horizontal="left" vertical="center"/>
    </xf>
    <xf numFmtId="168" fontId="7" fillId="2" borderId="15" xfId="1" applyNumberFormat="1" applyFont="1" applyFill="1" applyBorder="1" applyAlignment="1" applyProtection="1">
      <alignment vertical="center"/>
    </xf>
    <xf numFmtId="168" fontId="3" fillId="0" borderId="0" xfId="1" applyNumberFormat="1" applyFont="1" applyAlignment="1">
      <alignment horizontal="center" vertical="center"/>
    </xf>
    <xf numFmtId="168" fontId="3" fillId="0" borderId="0" xfId="1" applyNumberFormat="1" applyFont="1" applyBorder="1" applyAlignment="1" applyProtection="1">
      <alignment horizontal="center" vertical="center"/>
    </xf>
    <xf numFmtId="168" fontId="3" fillId="0" borderId="0" xfId="1" applyNumberFormat="1" applyFont="1" applyAlignment="1" applyProtection="1">
      <alignment horizontal="center" vertical="center"/>
    </xf>
    <xf numFmtId="168" fontId="3" fillId="0" borderId="8" xfId="1" applyNumberFormat="1" applyFont="1" applyBorder="1" applyAlignment="1" applyProtection="1">
      <alignment horizontal="center" vertical="center"/>
    </xf>
    <xf numFmtId="168" fontId="3" fillId="0" borderId="0" xfId="1" applyNumberFormat="1" applyFont="1" applyFill="1" applyBorder="1" applyAlignment="1" applyProtection="1">
      <alignment horizontal="center" vertical="center"/>
    </xf>
    <xf numFmtId="168" fontId="3" fillId="0" borderId="8" xfId="1" applyNumberFormat="1" applyFont="1" applyFill="1" applyBorder="1" applyAlignment="1" applyProtection="1">
      <alignment horizontal="center" vertical="center"/>
    </xf>
    <xf numFmtId="0" fontId="7" fillId="0" borderId="0" xfId="0" applyFont="1" applyBorder="1" applyAlignment="1" applyProtection="1">
      <alignment horizontal="center" vertical="center"/>
    </xf>
    <xf numFmtId="168" fontId="0" fillId="0" borderId="0" xfId="1" applyNumberFormat="1" applyFont="1" applyBorder="1" applyAlignment="1" applyProtection="1">
      <alignment vertical="center"/>
    </xf>
    <xf numFmtId="168" fontId="0" fillId="0" borderId="0" xfId="1" applyNumberFormat="1" applyFont="1" applyFill="1" applyBorder="1" applyAlignment="1" applyProtection="1">
      <alignment vertical="center"/>
    </xf>
    <xf numFmtId="168" fontId="0" fillId="3" borderId="9" xfId="1" applyNumberFormat="1" applyFont="1" applyFill="1" applyBorder="1" applyAlignment="1" applyProtection="1">
      <alignment vertical="center"/>
    </xf>
    <xf numFmtId="168" fontId="0" fillId="2" borderId="9" xfId="1" applyNumberFormat="1" applyFont="1" applyFill="1" applyBorder="1" applyAlignment="1" applyProtection="1">
      <alignment vertical="center"/>
    </xf>
    <xf numFmtId="168" fontId="0" fillId="2" borderId="3" xfId="1" applyNumberFormat="1" applyFont="1" applyFill="1" applyBorder="1" applyAlignment="1" applyProtection="1">
      <alignment vertical="center"/>
    </xf>
    <xf numFmtId="168" fontId="0" fillId="4" borderId="9" xfId="1" applyNumberFormat="1" applyFont="1" applyFill="1" applyBorder="1" applyAlignment="1" applyProtection="1">
      <alignment horizontal="center" vertical="center"/>
    </xf>
    <xf numFmtId="168" fontId="0" fillId="0" borderId="0" xfId="1" applyNumberFormat="1" applyFont="1" applyAlignment="1" applyProtection="1">
      <alignment vertical="center"/>
    </xf>
    <xf numFmtId="168" fontId="0" fillId="3" borderId="9" xfId="1" applyNumberFormat="1" applyFont="1" applyFill="1" applyBorder="1" applyAlignment="1" applyProtection="1">
      <alignment horizontal="right" vertical="center"/>
    </xf>
    <xf numFmtId="168" fontId="0" fillId="3" borderId="11" xfId="1" applyNumberFormat="1" applyFont="1" applyFill="1" applyBorder="1" applyAlignment="1" applyProtection="1">
      <alignment vertical="center"/>
    </xf>
    <xf numFmtId="168" fontId="0" fillId="2" borderId="11" xfId="1" applyNumberFormat="1" applyFont="1" applyFill="1" applyBorder="1" applyAlignment="1" applyProtection="1">
      <alignment vertical="center"/>
    </xf>
    <xf numFmtId="168" fontId="0" fillId="2" borderId="4" xfId="1" applyNumberFormat="1" applyFont="1" applyFill="1" applyBorder="1" applyAlignment="1" applyProtection="1">
      <alignment vertical="center"/>
    </xf>
    <xf numFmtId="168" fontId="0" fillId="4" borderId="11" xfId="1" applyNumberFormat="1" applyFont="1" applyFill="1" applyBorder="1" applyAlignment="1" applyProtection="1">
      <alignment horizontal="center" vertical="center"/>
    </xf>
    <xf numFmtId="168" fontId="0" fillId="3" borderId="11" xfId="1" applyNumberFormat="1" applyFont="1" applyFill="1" applyBorder="1" applyAlignment="1" applyProtection="1">
      <alignment horizontal="right" vertical="center"/>
    </xf>
    <xf numFmtId="168" fontId="7" fillId="0" borderId="0" xfId="1" applyNumberFormat="1" applyFont="1" applyFill="1" applyBorder="1" applyAlignment="1" applyProtection="1">
      <alignment horizontal="right" vertical="center"/>
    </xf>
    <xf numFmtId="0" fontId="0" fillId="0" borderId="0" xfId="0" applyAlignment="1">
      <alignment vertical="center"/>
    </xf>
    <xf numFmtId="0" fontId="0" fillId="13" borderId="0" xfId="0" applyFont="1" applyFill="1" applyBorder="1" applyAlignment="1" applyProtection="1">
      <alignment vertical="center"/>
    </xf>
    <xf numFmtId="0" fontId="7" fillId="0" borderId="0" xfId="2" applyNumberFormat="1" applyFont="1" applyFill="1" applyBorder="1" applyAlignment="1" applyProtection="1">
      <alignment horizontal="center" vertical="center"/>
    </xf>
    <xf numFmtId="0" fontId="7" fillId="0" borderId="0" xfId="0" applyFont="1" applyFill="1" applyBorder="1" applyAlignment="1" applyProtection="1">
      <alignment vertical="center"/>
    </xf>
    <xf numFmtId="0" fontId="0" fillId="0" borderId="0" xfId="0" applyFill="1" applyAlignment="1">
      <alignment horizontal="left" vertical="center" wrapText="1"/>
    </xf>
    <xf numFmtId="0" fontId="0" fillId="0" borderId="0" xfId="0" applyFill="1" applyAlignment="1">
      <alignment vertical="center" wrapText="1"/>
    </xf>
    <xf numFmtId="37" fontId="0" fillId="0" borderId="0" xfId="0" applyNumberFormat="1" applyFont="1" applyFill="1" applyBorder="1" applyAlignment="1" applyProtection="1">
      <alignment horizontal="left" vertical="center" wrapText="1"/>
    </xf>
    <xf numFmtId="0" fontId="0" fillId="0" borderId="0" xfId="0" applyFont="1" applyFill="1" applyBorder="1" applyAlignment="1" applyProtection="1">
      <alignment vertical="center" wrapText="1"/>
    </xf>
    <xf numFmtId="0" fontId="0" fillId="0" borderId="0" xfId="0" applyFill="1" applyAlignment="1">
      <alignment vertical="center"/>
    </xf>
    <xf numFmtId="0" fontId="0" fillId="0" borderId="0" xfId="0" applyFill="1" applyBorder="1" applyAlignment="1">
      <alignment vertical="center"/>
    </xf>
    <xf numFmtId="0" fontId="0" fillId="0" borderId="0" xfId="0" applyFont="1" applyFill="1" applyAlignment="1" applyProtection="1">
      <alignment vertical="center" wrapText="1"/>
    </xf>
    <xf numFmtId="0" fontId="0" fillId="0" borderId="0" xfId="0" applyFont="1" applyFill="1" applyBorder="1" applyAlignment="1" applyProtection="1">
      <alignment vertical="center"/>
      <protection locked="0"/>
    </xf>
    <xf numFmtId="170" fontId="7" fillId="0" borderId="0" xfId="1" applyNumberFormat="1" applyFont="1" applyBorder="1" applyAlignment="1" applyProtection="1">
      <alignment horizontal="right" vertical="center"/>
    </xf>
    <xf numFmtId="168" fontId="12" fillId="0" borderId="7" xfId="1" applyNumberFormat="1" applyFont="1" applyBorder="1" applyAlignment="1" applyProtection="1">
      <alignment horizontal="left" vertical="center" wrapText="1"/>
    </xf>
    <xf numFmtId="0" fontId="25" fillId="12" borderId="0" xfId="0" applyNumberFormat="1" applyFont="1" applyFill="1" applyBorder="1" applyAlignment="1" applyProtection="1">
      <alignment horizontal="center" vertical="center"/>
    </xf>
    <xf numFmtId="0" fontId="25" fillId="12" borderId="0" xfId="0" applyFont="1" applyFill="1" applyBorder="1" applyAlignment="1" applyProtection="1">
      <alignment vertical="center"/>
    </xf>
    <xf numFmtId="0" fontId="25" fillId="12" borderId="19" xfId="0" applyNumberFormat="1" applyFont="1" applyFill="1" applyBorder="1" applyAlignment="1" applyProtection="1">
      <alignment horizontal="center" vertical="center"/>
    </xf>
    <xf numFmtId="0" fontId="25" fillId="12" borderId="19" xfId="0" applyFont="1" applyFill="1" applyBorder="1" applyAlignment="1" applyProtection="1">
      <alignment vertical="center"/>
    </xf>
    <xf numFmtId="168" fontId="4" fillId="6" borderId="9" xfId="1" applyNumberFormat="1" applyFont="1" applyFill="1" applyBorder="1" applyAlignment="1">
      <alignment vertical="center"/>
    </xf>
    <xf numFmtId="168" fontId="4" fillId="7" borderId="9" xfId="1" applyNumberFormat="1" applyFont="1" applyFill="1" applyBorder="1" applyAlignment="1">
      <alignment vertical="center"/>
    </xf>
    <xf numFmtId="168" fontId="4" fillId="8" borderId="9" xfId="1" applyNumberFormat="1" applyFont="1" applyFill="1" applyBorder="1" applyAlignment="1">
      <alignment vertical="center"/>
    </xf>
    <xf numFmtId="168" fontId="6" fillId="6" borderId="9" xfId="1" applyNumberFormat="1" applyFont="1" applyFill="1" applyBorder="1" applyAlignment="1">
      <alignment vertical="center"/>
    </xf>
    <xf numFmtId="168" fontId="6" fillId="3" borderId="9" xfId="1" applyNumberFormat="1" applyFont="1" applyFill="1" applyBorder="1" applyAlignment="1" applyProtection="1">
      <alignment vertical="center"/>
    </xf>
    <xf numFmtId="168" fontId="6" fillId="8" borderId="9" xfId="1" applyNumberFormat="1" applyFont="1" applyFill="1" applyBorder="1" applyAlignment="1">
      <alignment horizontal="right" vertical="center"/>
    </xf>
    <xf numFmtId="168" fontId="4" fillId="6" borderId="9" xfId="1" applyNumberFormat="1" applyFont="1" applyFill="1" applyBorder="1" applyAlignment="1">
      <alignment horizontal="right" vertical="center"/>
    </xf>
    <xf numFmtId="168" fontId="4" fillId="7" borderId="9" xfId="1" applyNumberFormat="1" applyFont="1" applyFill="1" applyBorder="1" applyAlignment="1">
      <alignment horizontal="right" vertical="center"/>
    </xf>
    <xf numFmtId="168" fontId="4" fillId="8" borderId="9" xfId="1" applyNumberFormat="1" applyFont="1" applyFill="1" applyBorder="1" applyAlignment="1">
      <alignment horizontal="right" vertical="center"/>
    </xf>
    <xf numFmtId="168" fontId="6" fillId="3" borderId="9" xfId="1" applyNumberFormat="1" applyFont="1" applyFill="1" applyBorder="1" applyAlignment="1" applyProtection="1">
      <alignment horizontal="right" vertical="center"/>
    </xf>
    <xf numFmtId="168" fontId="3" fillId="0" borderId="0" xfId="1" applyNumberFormat="1" applyAlignment="1">
      <alignment horizontal="center" vertical="center"/>
    </xf>
    <xf numFmtId="168" fontId="3" fillId="0" borderId="0" xfId="1" applyNumberFormat="1" applyAlignment="1">
      <alignment vertical="center"/>
    </xf>
    <xf numFmtId="168" fontId="3" fillId="0" borderId="0" xfId="1" applyNumberFormat="1" applyAlignment="1">
      <alignment vertical="center" wrapText="1"/>
    </xf>
    <xf numFmtId="168" fontId="6" fillId="0" borderId="0" xfId="1" applyNumberFormat="1" applyFont="1" applyFill="1" applyBorder="1" applyAlignment="1" applyProtection="1">
      <alignment vertical="center"/>
    </xf>
    <xf numFmtId="168" fontId="10" fillId="0" borderId="0" xfId="1" applyNumberFormat="1" applyFont="1" applyFill="1" applyBorder="1" applyAlignment="1">
      <alignment horizontal="center" vertical="center"/>
    </xf>
    <xf numFmtId="168" fontId="8" fillId="3" borderId="0" xfId="1" applyNumberFormat="1" applyFont="1" applyFill="1" applyAlignment="1" applyProtection="1">
      <alignment horizontal="left" vertical="center" wrapText="1"/>
    </xf>
    <xf numFmtId="168" fontId="4" fillId="0" borderId="0" xfId="1" applyNumberFormat="1" applyFont="1" applyBorder="1" applyAlignment="1" applyProtection="1">
      <alignment horizontal="center" vertical="center"/>
    </xf>
    <xf numFmtId="168" fontId="4" fillId="0" borderId="0" xfId="1" applyNumberFormat="1" applyFont="1" applyBorder="1" applyAlignment="1" applyProtection="1">
      <alignment vertical="center"/>
    </xf>
    <xf numFmtId="168" fontId="4" fillId="0" borderId="0" xfId="1" applyNumberFormat="1" applyFont="1" applyFill="1" applyBorder="1" applyAlignment="1" applyProtection="1">
      <alignment vertical="center"/>
    </xf>
    <xf numFmtId="168" fontId="8" fillId="9" borderId="0" xfId="1" applyNumberFormat="1" applyFont="1" applyFill="1" applyAlignment="1" applyProtection="1">
      <alignment horizontal="left" vertical="center" wrapText="1"/>
    </xf>
    <xf numFmtId="168" fontId="8" fillId="10" borderId="0" xfId="1" applyNumberFormat="1" applyFont="1" applyFill="1" applyAlignment="1" applyProtection="1">
      <alignment horizontal="left" vertical="center" wrapText="1"/>
    </xf>
    <xf numFmtId="168" fontId="4" fillId="0" borderId="0" xfId="1" applyNumberFormat="1" applyFont="1" applyAlignment="1" applyProtection="1">
      <alignment horizontal="center" vertical="center"/>
    </xf>
    <xf numFmtId="168" fontId="4" fillId="0" borderId="0" xfId="1" applyNumberFormat="1" applyFont="1" applyAlignment="1" applyProtection="1">
      <alignment vertical="center"/>
    </xf>
    <xf numFmtId="168" fontId="6" fillId="0" borderId="10" xfId="1" applyNumberFormat="1" applyFont="1" applyBorder="1" applyAlignment="1" applyProtection="1">
      <alignment horizontal="center" vertical="center"/>
    </xf>
    <xf numFmtId="168" fontId="6" fillId="0" borderId="9" xfId="1" applyNumberFormat="1" applyFont="1" applyBorder="1" applyAlignment="1" applyProtection="1">
      <alignment horizontal="center" vertical="center"/>
    </xf>
    <xf numFmtId="168" fontId="7" fillId="0" borderId="0" xfId="1" applyNumberFormat="1" applyFont="1" applyAlignment="1">
      <alignment horizontal="center" vertical="center"/>
    </xf>
    <xf numFmtId="168" fontId="7" fillId="0" borderId="7" xfId="1" applyNumberFormat="1" applyFont="1" applyBorder="1" applyAlignment="1">
      <alignment horizontal="center" vertical="center"/>
    </xf>
    <xf numFmtId="168" fontId="7" fillId="0" borderId="7" xfId="1" applyNumberFormat="1" applyFont="1" applyBorder="1" applyAlignment="1">
      <alignment vertical="center"/>
    </xf>
    <xf numFmtId="168" fontId="7" fillId="0" borderId="9" xfId="1" applyNumberFormat="1" applyFont="1" applyBorder="1" applyAlignment="1">
      <alignment horizontal="center" vertical="center"/>
    </xf>
    <xf numFmtId="168" fontId="16" fillId="7" borderId="0" xfId="1" applyNumberFormat="1" applyFont="1" applyFill="1" applyAlignment="1">
      <alignment vertical="center"/>
    </xf>
    <xf numFmtId="168" fontId="4" fillId="7" borderId="0" xfId="1" applyNumberFormat="1" applyFont="1" applyFill="1" applyBorder="1" applyAlignment="1">
      <alignment vertical="center"/>
    </xf>
    <xf numFmtId="168" fontId="7" fillId="0" borderId="0" xfId="1" applyNumberFormat="1" applyFont="1" applyBorder="1" applyAlignment="1">
      <alignment vertical="center"/>
    </xf>
    <xf numFmtId="168" fontId="0" fillId="0" borderId="0" xfId="1" applyNumberFormat="1" applyFont="1" applyAlignment="1">
      <alignment horizontal="left" vertical="center" indent="1"/>
    </xf>
    <xf numFmtId="168" fontId="0" fillId="0" borderId="0" xfId="1" applyNumberFormat="1" applyFont="1" applyAlignment="1">
      <alignment vertical="center" wrapText="1"/>
    </xf>
    <xf numFmtId="168" fontId="7" fillId="7" borderId="0" xfId="1" applyNumberFormat="1" applyFont="1" applyFill="1" applyAlignment="1">
      <alignment vertical="center"/>
    </xf>
    <xf numFmtId="168" fontId="7" fillId="7" borderId="0" xfId="1" applyNumberFormat="1" applyFont="1" applyFill="1" applyBorder="1" applyAlignment="1">
      <alignment vertical="center"/>
    </xf>
    <xf numFmtId="168" fontId="4" fillId="0" borderId="0" xfId="1" applyNumberFormat="1" applyFont="1" applyAlignment="1">
      <alignment vertical="center"/>
    </xf>
    <xf numFmtId="168" fontId="6" fillId="8" borderId="9" xfId="1" applyNumberFormat="1" applyFont="1" applyFill="1" applyBorder="1" applyAlignment="1" applyProtection="1">
      <alignment vertical="center"/>
    </xf>
    <xf numFmtId="168" fontId="3" fillId="0" borderId="0" xfId="1" applyNumberFormat="1" applyFill="1" applyAlignment="1">
      <alignment horizontal="center" vertical="center"/>
    </xf>
    <xf numFmtId="168" fontId="3" fillId="0" borderId="0" xfId="1" applyNumberFormat="1" applyFont="1" applyFill="1" applyBorder="1" applyAlignment="1">
      <alignment horizontal="left" vertical="center" indent="1"/>
    </xf>
    <xf numFmtId="168" fontId="4" fillId="7" borderId="0" xfId="1" applyNumberFormat="1" applyFont="1" applyFill="1" applyAlignment="1">
      <alignment vertical="center"/>
    </xf>
    <xf numFmtId="168" fontId="0" fillId="0" borderId="0" xfId="1" applyNumberFormat="1" applyFont="1" applyFill="1" applyBorder="1" applyAlignment="1">
      <alignment horizontal="left" vertical="center" indent="1"/>
    </xf>
    <xf numFmtId="168" fontId="6" fillId="0" borderId="0" xfId="1" applyNumberFormat="1" applyFont="1" applyFill="1" applyBorder="1" applyAlignment="1" applyProtection="1">
      <alignment horizontal="right" vertical="center"/>
    </xf>
    <xf numFmtId="168" fontId="4" fillId="0" borderId="0" xfId="1" applyNumberFormat="1" applyFont="1" applyBorder="1" applyAlignment="1" applyProtection="1">
      <alignment horizontal="right" vertical="center"/>
    </xf>
    <xf numFmtId="168" fontId="27" fillId="0" borderId="0" xfId="1" applyNumberFormat="1" applyFont="1" applyAlignment="1">
      <alignment horizontal="right" vertical="center"/>
    </xf>
    <xf numFmtId="168" fontId="0" fillId="0" borderId="0" xfId="0" applyNumberFormat="1" applyAlignment="1">
      <alignment vertical="center"/>
    </xf>
    <xf numFmtId="9" fontId="13" fillId="0" borderId="0" xfId="12" applyFont="1" applyFill="1" applyBorder="1" applyAlignment="1" applyProtection="1">
      <alignment horizontal="center" vertical="center"/>
    </xf>
    <xf numFmtId="9" fontId="28" fillId="0" borderId="0" xfId="12" applyFont="1" applyFill="1" applyBorder="1" applyAlignment="1" applyProtection="1">
      <alignment vertical="center"/>
    </xf>
    <xf numFmtId="9" fontId="13" fillId="0" borderId="0" xfId="12" applyFont="1" applyFill="1" applyBorder="1" applyAlignment="1" applyProtection="1">
      <alignment vertical="center"/>
    </xf>
    <xf numFmtId="9" fontId="22" fillId="0" borderId="0" xfId="12" applyFont="1" applyAlignment="1">
      <alignment vertical="center"/>
    </xf>
    <xf numFmtId="9" fontId="22" fillId="0" borderId="0" xfId="12" applyFont="1" applyAlignment="1">
      <alignment horizontal="center" vertical="center"/>
    </xf>
    <xf numFmtId="9" fontId="22" fillId="0" borderId="0" xfId="12" applyFont="1" applyAlignment="1">
      <alignment vertical="center" wrapText="1"/>
    </xf>
    <xf numFmtId="170" fontId="3" fillId="0" borderId="0" xfId="1" applyNumberFormat="1" applyFont="1" applyAlignment="1">
      <alignment horizontal="center" vertical="center"/>
    </xf>
    <xf numFmtId="170" fontId="3" fillId="0" borderId="0" xfId="1" applyNumberFormat="1" applyAlignment="1">
      <alignment horizontal="center" vertical="center"/>
    </xf>
    <xf numFmtId="168" fontId="12" fillId="0" borderId="7" xfId="4" applyNumberFormat="1" applyFont="1" applyBorder="1" applyAlignment="1" applyProtection="1">
      <alignment horizontal="left" vertical="center" wrapText="1"/>
    </xf>
    <xf numFmtId="168" fontId="3" fillId="0" borderId="0" xfId="1" applyNumberFormat="1" applyAlignment="1">
      <alignment horizontal="left" vertical="center"/>
    </xf>
    <xf numFmtId="168" fontId="3" fillId="0" borderId="0" xfId="1" applyNumberFormat="1" applyFont="1" applyAlignment="1">
      <alignment horizontal="left" vertical="center"/>
    </xf>
    <xf numFmtId="168" fontId="6" fillId="0" borderId="0" xfId="1" applyNumberFormat="1" applyFont="1" applyFill="1" applyBorder="1" applyAlignment="1" applyProtection="1">
      <alignment horizontal="left" vertical="center"/>
    </xf>
    <xf numFmtId="168" fontId="10" fillId="0" borderId="0" xfId="1" applyNumberFormat="1" applyFont="1" applyFill="1" applyBorder="1" applyAlignment="1">
      <alignment horizontal="left" vertical="center"/>
    </xf>
    <xf numFmtId="169" fontId="3" fillId="0" borderId="0" xfId="11" applyNumberFormat="1" applyFont="1" applyBorder="1" applyAlignment="1" applyProtection="1">
      <alignment horizontal="left" vertical="center"/>
    </xf>
    <xf numFmtId="168" fontId="7" fillId="6" borderId="0" xfId="1" applyNumberFormat="1" applyFont="1" applyFill="1" applyBorder="1" applyAlignment="1" applyProtection="1">
      <alignment horizontal="left" vertical="center"/>
    </xf>
    <xf numFmtId="168" fontId="4" fillId="0" borderId="0" xfId="1" applyNumberFormat="1" applyFont="1" applyBorder="1" applyAlignment="1" applyProtection="1">
      <alignment horizontal="left" vertical="center"/>
    </xf>
    <xf numFmtId="168" fontId="4" fillId="0" borderId="0" xfId="1" applyNumberFormat="1" applyFont="1" applyFill="1" applyBorder="1" applyAlignment="1" applyProtection="1">
      <alignment horizontal="left" vertical="center"/>
    </xf>
    <xf numFmtId="9" fontId="13" fillId="0" borderId="0" xfId="12" applyFont="1" applyFill="1" applyBorder="1" applyAlignment="1" applyProtection="1">
      <alignment horizontal="left" vertical="center"/>
    </xf>
    <xf numFmtId="9" fontId="28" fillId="0" borderId="0" xfId="12" applyFont="1" applyFill="1" applyBorder="1" applyAlignment="1" applyProtection="1">
      <alignment horizontal="left" vertical="center"/>
    </xf>
    <xf numFmtId="168" fontId="4" fillId="0" borderId="0" xfId="1" applyNumberFormat="1" applyFont="1" applyAlignment="1" applyProtection="1">
      <alignment horizontal="left" vertical="center"/>
    </xf>
    <xf numFmtId="168" fontId="7" fillId="0" borderId="7" xfId="1" applyNumberFormat="1" applyFont="1" applyBorder="1" applyAlignment="1">
      <alignment horizontal="left" vertical="center"/>
    </xf>
    <xf numFmtId="168" fontId="7" fillId="0" borderId="0" xfId="1" applyNumberFormat="1" applyFont="1" applyAlignment="1">
      <alignment horizontal="left" vertical="center"/>
    </xf>
    <xf numFmtId="168" fontId="27" fillId="0" borderId="0" xfId="1" applyNumberFormat="1" applyFont="1" applyAlignment="1">
      <alignment vertical="center"/>
    </xf>
    <xf numFmtId="168" fontId="3" fillId="0" borderId="0" xfId="1" applyNumberFormat="1" applyFont="1" applyFill="1" applyBorder="1" applyAlignment="1">
      <alignment vertical="center"/>
    </xf>
    <xf numFmtId="168" fontId="3" fillId="0" borderId="0" xfId="4" applyNumberFormat="1" applyAlignment="1">
      <alignment horizontal="left" vertical="center"/>
    </xf>
    <xf numFmtId="168" fontId="8" fillId="3" borderId="0" xfId="0" applyNumberFormat="1" applyFont="1" applyFill="1" applyAlignment="1" applyProtection="1">
      <alignment horizontal="left" vertical="center" wrapText="1"/>
    </xf>
    <xf numFmtId="168" fontId="8" fillId="9" borderId="0" xfId="0" applyNumberFormat="1" applyFont="1" applyFill="1" applyAlignment="1" applyProtection="1">
      <alignment horizontal="left" vertical="center" wrapText="1"/>
    </xf>
    <xf numFmtId="168" fontId="8" fillId="10" borderId="0" xfId="0" applyNumberFormat="1" applyFont="1" applyFill="1" applyAlignment="1" applyProtection="1">
      <alignment horizontal="left" vertical="center" wrapText="1"/>
    </xf>
    <xf numFmtId="168" fontId="3" fillId="0" borderId="0" xfId="4" applyNumberFormat="1" applyAlignment="1">
      <alignment horizontal="left" vertical="center" wrapText="1"/>
    </xf>
    <xf numFmtId="168" fontId="7" fillId="0" borderId="0" xfId="4" applyNumberFormat="1" applyFont="1" applyAlignment="1">
      <alignment horizontal="left" vertical="center"/>
    </xf>
    <xf numFmtId="168" fontId="4" fillId="7" borderId="0" xfId="4" applyNumberFormat="1" applyFont="1" applyFill="1" applyBorder="1" applyAlignment="1">
      <alignment horizontal="left" vertical="center"/>
    </xf>
    <xf numFmtId="168" fontId="4" fillId="8" borderId="9" xfId="1" applyNumberFormat="1" applyFont="1" applyFill="1" applyBorder="1" applyAlignment="1">
      <alignment horizontal="left" vertical="center"/>
    </xf>
    <xf numFmtId="168" fontId="4" fillId="6" borderId="9" xfId="1" applyNumberFormat="1" applyFont="1" applyFill="1" applyBorder="1" applyAlignment="1">
      <alignment horizontal="left" vertical="center"/>
    </xf>
    <xf numFmtId="168" fontId="3" fillId="0" borderId="0" xfId="4" applyNumberFormat="1" applyFont="1" applyAlignment="1">
      <alignment horizontal="left" vertical="center" wrapText="1"/>
    </xf>
    <xf numFmtId="168" fontId="4" fillId="7" borderId="9" xfId="1" applyNumberFormat="1" applyFont="1" applyFill="1" applyBorder="1" applyAlignment="1">
      <alignment horizontal="left" vertical="center"/>
    </xf>
    <xf numFmtId="170" fontId="3" fillId="0" borderId="0" xfId="4" applyNumberFormat="1" applyAlignment="1">
      <alignment horizontal="left" vertical="center"/>
    </xf>
    <xf numFmtId="170" fontId="3" fillId="0" borderId="0" xfId="4" applyNumberFormat="1" applyFont="1" applyAlignment="1">
      <alignment horizontal="left" vertical="center"/>
    </xf>
    <xf numFmtId="168" fontId="6" fillId="3" borderId="9" xfId="1" applyNumberFormat="1" applyFont="1" applyFill="1" applyBorder="1" applyAlignment="1" applyProtection="1">
      <alignment horizontal="left" vertical="center"/>
    </xf>
    <xf numFmtId="168" fontId="4" fillId="0" borderId="0" xfId="4" applyNumberFormat="1" applyFont="1" applyAlignment="1">
      <alignment horizontal="left" vertical="center"/>
    </xf>
    <xf numFmtId="168" fontId="6" fillId="8" borderId="9" xfId="1" applyNumberFormat="1" applyFont="1" applyFill="1" applyBorder="1" applyAlignment="1" applyProtection="1">
      <alignment horizontal="left" vertical="center"/>
    </xf>
    <xf numFmtId="168" fontId="3" fillId="0" borderId="0" xfId="4" applyNumberFormat="1" applyFill="1" applyAlignment="1">
      <alignment horizontal="left" vertical="center"/>
    </xf>
    <xf numFmtId="9" fontId="13" fillId="0" borderId="0" xfId="12" applyFont="1" applyFill="1" applyBorder="1" applyAlignment="1" applyProtection="1">
      <alignment horizontal="right" vertical="center"/>
    </xf>
    <xf numFmtId="168" fontId="22" fillId="0" borderId="0" xfId="1" applyNumberFormat="1" applyFont="1" applyAlignment="1">
      <alignment horizontal="center" vertical="center"/>
    </xf>
    <xf numFmtId="168" fontId="7" fillId="2" borderId="15" xfId="1" applyNumberFormat="1" applyFont="1" applyFill="1" applyBorder="1" applyAlignment="1" applyProtection="1">
      <alignment horizontal="center" vertical="center"/>
    </xf>
    <xf numFmtId="168" fontId="0" fillId="0" borderId="0" xfId="4" applyNumberFormat="1" applyFont="1" applyAlignment="1">
      <alignment horizontal="left" vertical="center" wrapText="1"/>
    </xf>
    <xf numFmtId="168" fontId="0" fillId="0" borderId="0" xfId="1" applyNumberFormat="1" applyFont="1" applyBorder="1" applyAlignment="1" applyProtection="1">
      <alignment horizontal="right" vertical="center"/>
    </xf>
    <xf numFmtId="171" fontId="0" fillId="0" borderId="0" xfId="133" applyNumberFormat="1" applyFont="1" applyFill="1" applyBorder="1" applyAlignment="1">
      <alignment vertical="center"/>
    </xf>
    <xf numFmtId="171" fontId="26" fillId="0" borderId="0" xfId="133" applyNumberFormat="1" applyFont="1" applyFill="1" applyBorder="1" applyAlignment="1">
      <alignment vertical="center"/>
    </xf>
    <xf numFmtId="171" fontId="31" fillId="12" borderId="0" xfId="133" applyNumberFormat="1" applyFont="1" applyFill="1" applyBorder="1" applyAlignment="1">
      <alignment horizontal="center" vertical="center"/>
    </xf>
    <xf numFmtId="171" fontId="32" fillId="0" borderId="0" xfId="133" applyNumberFormat="1" applyFont="1" applyFill="1" applyBorder="1" applyAlignment="1">
      <alignment vertical="center"/>
    </xf>
    <xf numFmtId="171" fontId="24" fillId="0" borderId="0" xfId="133" applyNumberFormat="1" applyFont="1" applyFill="1" applyBorder="1" applyAlignment="1">
      <alignment vertical="center"/>
    </xf>
    <xf numFmtId="171" fontId="3" fillId="0" borderId="0" xfId="133" applyNumberFormat="1" applyFont="1" applyFill="1" applyBorder="1" applyAlignment="1">
      <alignment vertical="center"/>
    </xf>
    <xf numFmtId="171" fontId="7" fillId="0" borderId="0" xfId="133" applyNumberFormat="1" applyFont="1" applyFill="1" applyBorder="1" applyAlignment="1">
      <alignment vertical="center"/>
    </xf>
    <xf numFmtId="171" fontId="3" fillId="0" borderId="0" xfId="133" applyNumberFormat="1" applyFont="1" applyFill="1" applyBorder="1" applyAlignment="1">
      <alignment horizontal="left" vertical="center" indent="1"/>
    </xf>
    <xf numFmtId="171" fontId="33" fillId="0" borderId="0" xfId="133" applyNumberFormat="1" applyFont="1" applyFill="1" applyBorder="1" applyAlignment="1">
      <alignment vertical="center"/>
    </xf>
    <xf numFmtId="171" fontId="36" fillId="0" borderId="0" xfId="133" applyNumberFormat="1" applyFont="1" applyFill="1" applyBorder="1" applyAlignment="1">
      <alignment vertical="center"/>
    </xf>
    <xf numFmtId="171" fontId="35" fillId="12" borderId="0" xfId="133" applyNumberFormat="1" applyFont="1" applyFill="1" applyBorder="1" applyAlignment="1">
      <alignment horizontal="center" vertical="center"/>
    </xf>
    <xf numFmtId="171" fontId="37" fillId="0" borderId="0" xfId="133" applyNumberFormat="1" applyFont="1" applyFill="1" applyBorder="1" applyAlignment="1">
      <alignment vertical="center"/>
    </xf>
    <xf numFmtId="171" fontId="38" fillId="0" borderId="0" xfId="133" applyNumberFormat="1" applyFont="1" applyFill="1" applyBorder="1" applyAlignment="1">
      <alignment vertical="center"/>
    </xf>
    <xf numFmtId="171" fontId="39" fillId="0" borderId="0" xfId="133" applyNumberFormat="1" applyFont="1" applyFill="1" applyBorder="1" applyAlignment="1">
      <alignment vertical="center"/>
    </xf>
    <xf numFmtId="171" fontId="40" fillId="0" borderId="0" xfId="133" applyNumberFormat="1" applyFont="1" applyFill="1" applyBorder="1" applyAlignment="1">
      <alignment vertical="center"/>
    </xf>
    <xf numFmtId="170" fontId="7" fillId="0" borderId="0" xfId="1" applyNumberFormat="1" applyFont="1" applyFill="1" applyBorder="1" applyAlignment="1" applyProtection="1">
      <alignment vertical="center"/>
    </xf>
    <xf numFmtId="170" fontId="0" fillId="0" borderId="0" xfId="1" applyNumberFormat="1" applyFont="1" applyBorder="1" applyAlignment="1" applyProtection="1">
      <alignment vertical="center"/>
    </xf>
    <xf numFmtId="170" fontId="0" fillId="0" borderId="14" xfId="1" applyNumberFormat="1" applyFont="1" applyBorder="1" applyAlignment="1" applyProtection="1">
      <alignment vertical="center"/>
    </xf>
    <xf numFmtId="170" fontId="0" fillId="4" borderId="9" xfId="1" applyNumberFormat="1" applyFont="1" applyFill="1" applyBorder="1" applyAlignment="1" applyProtection="1">
      <alignment horizontal="center" vertical="center"/>
    </xf>
    <xf numFmtId="170" fontId="0" fillId="2" borderId="9" xfId="1" applyNumberFormat="1" applyFont="1" applyFill="1" applyBorder="1" applyAlignment="1" applyProtection="1">
      <alignment horizontal="center" vertical="center"/>
    </xf>
    <xf numFmtId="170" fontId="0" fillId="3" borderId="9" xfId="1" applyNumberFormat="1" applyFont="1" applyFill="1" applyBorder="1" applyAlignment="1" applyProtection="1">
      <alignment horizontal="center" vertical="center"/>
    </xf>
    <xf numFmtId="170" fontId="0" fillId="4" borderId="3" xfId="1" applyNumberFormat="1" applyFont="1" applyFill="1" applyBorder="1" applyAlignment="1" applyProtection="1">
      <alignment horizontal="center" vertical="center"/>
    </xf>
    <xf numFmtId="170" fontId="0" fillId="0" borderId="14" xfId="1" applyNumberFormat="1" applyFont="1" applyFill="1" applyBorder="1" applyAlignment="1" applyProtection="1">
      <alignment horizontal="center" vertical="center"/>
    </xf>
    <xf numFmtId="170" fontId="0" fillId="3" borderId="9" xfId="1" applyNumberFormat="1" applyFont="1" applyFill="1" applyBorder="1" applyAlignment="1" applyProtection="1">
      <alignment vertical="center"/>
    </xf>
    <xf numFmtId="170" fontId="0" fillId="0" borderId="14" xfId="1" applyNumberFormat="1" applyFont="1" applyBorder="1" applyAlignment="1" applyProtection="1">
      <alignment horizontal="center" vertical="center"/>
    </xf>
    <xf numFmtId="170" fontId="0" fillId="0" borderId="0" xfId="1" applyNumberFormat="1" applyFont="1" applyBorder="1" applyAlignment="1" applyProtection="1">
      <alignment horizontal="center" vertical="center"/>
    </xf>
    <xf numFmtId="170" fontId="0" fillId="0" borderId="0" xfId="1" applyNumberFormat="1" applyFont="1" applyAlignment="1" applyProtection="1">
      <alignment horizontal="center" vertical="center"/>
    </xf>
    <xf numFmtId="170" fontId="0" fillId="0" borderId="0" xfId="1" applyNumberFormat="1" applyFont="1" applyAlignment="1" applyProtection="1">
      <alignment vertical="center"/>
    </xf>
    <xf numFmtId="170" fontId="7" fillId="0" borderId="0" xfId="1" applyNumberFormat="1" applyFont="1" applyFill="1" applyBorder="1" applyAlignment="1" applyProtection="1">
      <alignment horizontal="center" vertical="center"/>
    </xf>
    <xf numFmtId="170" fontId="0" fillId="0" borderId="0" xfId="1" applyNumberFormat="1" applyFont="1" applyFill="1" applyBorder="1" applyAlignment="1" applyProtection="1">
      <alignment horizontal="center" vertical="center"/>
    </xf>
    <xf numFmtId="170" fontId="7" fillId="0" borderId="0" xfId="1" applyNumberFormat="1" applyFont="1" applyBorder="1" applyAlignment="1" applyProtection="1">
      <alignment horizontal="center" vertical="center"/>
    </xf>
    <xf numFmtId="171" fontId="30" fillId="12" borderId="0" xfId="133" applyNumberFormat="1" applyFont="1" applyFill="1" applyBorder="1" applyAlignment="1">
      <alignment horizontal="center" vertical="center"/>
    </xf>
    <xf numFmtId="168" fontId="0" fillId="0" borderId="0" xfId="0" applyNumberFormat="1" applyFont="1" applyAlignment="1">
      <alignment vertical="center"/>
    </xf>
    <xf numFmtId="0" fontId="25" fillId="12" borderId="0" xfId="0" applyFont="1" applyFill="1" applyAlignment="1">
      <alignment vertical="center"/>
    </xf>
    <xf numFmtId="0" fontId="29" fillId="12" borderId="0" xfId="0" applyFont="1" applyFill="1" applyAlignment="1">
      <alignment vertical="center"/>
    </xf>
    <xf numFmtId="168" fontId="25" fillId="12" borderId="0" xfId="1" applyNumberFormat="1" applyFont="1" applyFill="1" applyAlignment="1">
      <alignment vertical="center"/>
    </xf>
    <xf numFmtId="0" fontId="27" fillId="0" borderId="0" xfId="0" applyFont="1" applyAlignment="1">
      <alignment vertical="center"/>
    </xf>
    <xf numFmtId="0" fontId="7" fillId="0" borderId="0" xfId="0" applyFont="1" applyAlignment="1">
      <alignment vertical="center"/>
    </xf>
    <xf numFmtId="43" fontId="3" fillId="8" borderId="9" xfId="1" applyFont="1" applyFill="1" applyBorder="1" applyAlignment="1" applyProtection="1">
      <alignment horizontal="right" vertical="center"/>
      <protection locked="0"/>
    </xf>
    <xf numFmtId="168" fontId="3" fillId="0" borderId="0" xfId="1" applyNumberFormat="1" applyAlignment="1">
      <alignment horizontal="left" vertical="center" wrapText="1"/>
    </xf>
    <xf numFmtId="168" fontId="13" fillId="0" borderId="0" xfId="1" applyNumberFormat="1" applyFont="1" applyFill="1" applyBorder="1" applyAlignment="1" applyProtection="1">
      <alignment horizontal="left" vertical="center"/>
    </xf>
    <xf numFmtId="168" fontId="28" fillId="0" borderId="0" xfId="1" applyNumberFormat="1" applyFont="1" applyFill="1" applyBorder="1" applyAlignment="1" applyProtection="1">
      <alignment horizontal="left" vertical="center"/>
    </xf>
    <xf numFmtId="168" fontId="4" fillId="7" borderId="0" xfId="1" applyNumberFormat="1" applyFont="1" applyFill="1" applyBorder="1" applyAlignment="1">
      <alignment horizontal="left" vertical="center"/>
    </xf>
    <xf numFmtId="170" fontId="3" fillId="3" borderId="9" xfId="1" applyNumberFormat="1" applyFont="1" applyFill="1" applyBorder="1" applyAlignment="1" applyProtection="1">
      <alignment horizontal="center" vertical="center"/>
    </xf>
    <xf numFmtId="168" fontId="3" fillId="3" borderId="11" xfId="1" applyNumberFormat="1" applyFont="1" applyFill="1" applyBorder="1" applyAlignment="1" applyProtection="1">
      <alignment vertical="center"/>
    </xf>
    <xf numFmtId="168" fontId="6" fillId="6" borderId="9" xfId="1" applyNumberFormat="1" applyFont="1" applyFill="1" applyBorder="1" applyAlignment="1">
      <alignment horizontal="left" vertical="center"/>
    </xf>
    <xf numFmtId="169" fontId="0" fillId="0" borderId="0" xfId="0" applyNumberFormat="1" applyAlignment="1">
      <alignment horizontal="left" vertical="center"/>
    </xf>
    <xf numFmtId="9" fontId="0" fillId="0" borderId="0" xfId="0" applyNumberFormat="1" applyAlignment="1">
      <alignment horizontal="right" vertical="center"/>
    </xf>
    <xf numFmtId="168" fontId="6" fillId="0" borderId="0" xfId="0" applyNumberFormat="1" applyFont="1" applyAlignment="1">
      <alignment horizontal="right" vertical="center"/>
    </xf>
    <xf numFmtId="168" fontId="4" fillId="0" borderId="0" xfId="0" applyNumberFormat="1" applyFont="1" applyAlignment="1">
      <alignment horizontal="left" vertical="center"/>
    </xf>
    <xf numFmtId="168" fontId="22" fillId="0" borderId="0" xfId="1" applyNumberFormat="1" applyFont="1" applyAlignment="1" applyProtection="1">
      <alignment vertical="center"/>
    </xf>
    <xf numFmtId="168" fontId="3" fillId="2" borderId="9" xfId="1" applyNumberFormat="1" applyFont="1" applyFill="1" applyBorder="1" applyAlignment="1" applyProtection="1">
      <alignment horizontal="right" vertical="center"/>
    </xf>
    <xf numFmtId="168" fontId="0" fillId="2" borderId="10" xfId="1" applyNumberFormat="1" applyFont="1" applyFill="1" applyBorder="1" applyAlignment="1" applyProtection="1">
      <alignment vertical="center"/>
    </xf>
    <xf numFmtId="5" fontId="0" fillId="0" borderId="0" xfId="3" applyFont="1" applyFill="1" applyBorder="1" applyAlignment="1" applyProtection="1">
      <alignment vertical="center" wrapText="1"/>
    </xf>
    <xf numFmtId="10" fontId="29" fillId="12" borderId="0" xfId="134" applyNumberFormat="1" applyFont="1" applyFill="1" applyBorder="1" applyAlignment="1">
      <alignment horizontal="right" vertical="center"/>
    </xf>
    <xf numFmtId="171" fontId="29" fillId="12" borderId="0" xfId="133" applyNumberFormat="1" applyFont="1" applyFill="1" applyBorder="1" applyAlignment="1">
      <alignment horizontal="right" vertical="center"/>
    </xf>
    <xf numFmtId="171" fontId="34" fillId="12" borderId="0" xfId="133" applyNumberFormat="1" applyFont="1" applyFill="1" applyBorder="1" applyAlignment="1">
      <alignment horizontal="center" vertical="center"/>
    </xf>
    <xf numFmtId="171" fontId="29" fillId="12" borderId="0" xfId="133" applyNumberFormat="1" applyFont="1" applyFill="1" applyBorder="1" applyAlignment="1">
      <alignment vertical="center"/>
    </xf>
    <xf numFmtId="49" fontId="34" fillId="12" borderId="0" xfId="1" applyNumberFormat="1" applyFont="1" applyFill="1" applyBorder="1" applyAlignment="1">
      <alignment horizontal="center" vertical="center"/>
    </xf>
    <xf numFmtId="171" fontId="35" fillId="12" borderId="0" xfId="133" applyNumberFormat="1" applyFont="1" applyFill="1" applyBorder="1" applyAlignment="1">
      <alignment horizontal="right" vertical="center"/>
    </xf>
    <xf numFmtId="171" fontId="22" fillId="0" borderId="0" xfId="133" applyNumberFormat="1" applyFont="1" applyFill="1" applyBorder="1" applyAlignment="1">
      <alignment vertical="center"/>
    </xf>
    <xf numFmtId="171" fontId="25" fillId="12" borderId="0" xfId="133" applyNumberFormat="1" applyFont="1" applyFill="1" applyBorder="1" applyAlignment="1">
      <alignment vertical="center"/>
    </xf>
    <xf numFmtId="171" fontId="25" fillId="0" borderId="0" xfId="133" applyNumberFormat="1" applyFont="1" applyFill="1" applyBorder="1" applyAlignment="1">
      <alignment vertical="center"/>
    </xf>
    <xf numFmtId="168" fontId="6" fillId="0" borderId="0" xfId="1" applyNumberFormat="1" applyFont="1" applyAlignment="1">
      <alignment horizontal="right" vertical="center"/>
    </xf>
    <xf numFmtId="168" fontId="4" fillId="0" borderId="0" xfId="1" applyNumberFormat="1" applyFont="1" applyAlignment="1">
      <alignment horizontal="left" vertical="center"/>
    </xf>
    <xf numFmtId="169" fontId="0" fillId="0" borderId="0" xfId="11" applyNumberFormat="1" applyFont="1" applyAlignment="1">
      <alignment horizontal="left" vertical="center"/>
    </xf>
    <xf numFmtId="9" fontId="0" fillId="0" borderId="0" xfId="12" applyFont="1" applyAlignment="1">
      <alignment horizontal="right" vertical="center"/>
    </xf>
    <xf numFmtId="168" fontId="3" fillId="2" borderId="9" xfId="1" applyNumberFormat="1" applyFont="1" applyFill="1" applyBorder="1" applyAlignment="1" applyProtection="1">
      <alignment vertical="center"/>
    </xf>
    <xf numFmtId="171" fontId="27" fillId="0" borderId="0" xfId="133" applyNumberFormat="1" applyFont="1" applyFill="1" applyBorder="1" applyAlignment="1">
      <alignment vertical="center"/>
    </xf>
    <xf numFmtId="0" fontId="22" fillId="13" borderId="0" xfId="0" applyFont="1" applyFill="1" applyBorder="1" applyAlignment="1">
      <alignment horizontal="center" vertical="center"/>
    </xf>
    <xf numFmtId="0" fontId="0" fillId="13" borderId="0" xfId="0" applyFont="1" applyFill="1" applyAlignment="1">
      <alignment vertical="center"/>
    </xf>
    <xf numFmtId="0" fontId="0" fillId="13" borderId="0" xfId="0" applyFont="1" applyFill="1" applyBorder="1" applyAlignment="1">
      <alignment vertical="center"/>
    </xf>
    <xf numFmtId="0" fontId="7" fillId="13" borderId="0" xfId="0" applyFont="1" applyFill="1" applyBorder="1" applyAlignment="1" applyProtection="1">
      <alignment horizontal="center" vertical="center"/>
    </xf>
    <xf numFmtId="49" fontId="25" fillId="12" borderId="0" xfId="272" applyNumberFormat="1" applyFont="1" applyFill="1" applyBorder="1" applyAlignment="1" applyProtection="1">
      <alignment vertical="center"/>
    </xf>
    <xf numFmtId="0" fontId="7" fillId="13" borderId="0" xfId="272" applyNumberFormat="1" applyFont="1" applyFill="1" applyBorder="1" applyAlignment="1" applyProtection="1">
      <alignment vertical="center"/>
    </xf>
    <xf numFmtId="5" fontId="7" fillId="13" borderId="0" xfId="272" applyFont="1" applyFill="1" applyBorder="1" applyAlignment="1" applyProtection="1">
      <alignment horizontal="right" vertical="center"/>
    </xf>
    <xf numFmtId="0" fontId="0" fillId="13" borderId="0" xfId="0" applyFont="1" applyFill="1" applyBorder="1" applyAlignment="1" applyProtection="1">
      <alignment horizontal="center" vertical="center"/>
    </xf>
    <xf numFmtId="0" fontId="9" fillId="13" borderId="0" xfId="0" applyFont="1" applyFill="1" applyBorder="1" applyAlignment="1" applyProtection="1">
      <alignment vertical="center"/>
    </xf>
    <xf numFmtId="0" fontId="7" fillId="6" borderId="9" xfId="0" applyFont="1" applyFill="1" applyBorder="1" applyAlignment="1" applyProtection="1">
      <alignment vertical="center"/>
    </xf>
    <xf numFmtId="49" fontId="35" fillId="12" borderId="0" xfId="273" applyNumberFormat="1" applyFont="1" applyFill="1" applyBorder="1" applyAlignment="1" applyProtection="1">
      <alignment horizontal="center" vertical="center"/>
    </xf>
    <xf numFmtId="0" fontId="7" fillId="13" borderId="9" xfId="0" applyFont="1" applyFill="1" applyBorder="1" applyAlignment="1">
      <alignment vertical="center"/>
    </xf>
    <xf numFmtId="172" fontId="7" fillId="6" borderId="9" xfId="274" applyNumberFormat="1" applyFont="1" applyFill="1" applyBorder="1" applyAlignment="1">
      <alignment vertical="center"/>
    </xf>
    <xf numFmtId="0" fontId="7" fillId="8" borderId="9" xfId="0" applyFont="1" applyFill="1" applyBorder="1" applyAlignment="1" applyProtection="1">
      <alignment vertical="center"/>
    </xf>
    <xf numFmtId="49" fontId="25" fillId="12" borderId="0" xfId="273" applyNumberFormat="1" applyFont="1" applyFill="1" applyBorder="1" applyAlignment="1" applyProtection="1">
      <alignment horizontal="center" vertical="center"/>
    </xf>
    <xf numFmtId="5" fontId="25" fillId="12" borderId="0" xfId="273" applyFont="1" applyFill="1" applyBorder="1" applyAlignment="1" applyProtection="1">
      <alignment horizontal="center" vertical="center"/>
    </xf>
    <xf numFmtId="9" fontId="7" fillId="6" borderId="9" xfId="0" applyNumberFormat="1" applyFont="1" applyFill="1" applyBorder="1" applyAlignment="1">
      <alignment vertical="center"/>
    </xf>
    <xf numFmtId="0" fontId="7" fillId="13" borderId="0" xfId="0" applyFont="1" applyFill="1" applyBorder="1" applyAlignment="1" applyProtection="1">
      <alignment vertical="center"/>
    </xf>
    <xf numFmtId="168" fontId="7" fillId="6" borderId="9" xfId="1" applyNumberFormat="1" applyFont="1" applyFill="1" applyBorder="1" applyAlignment="1">
      <alignment horizontal="right" vertical="center"/>
    </xf>
    <xf numFmtId="9" fontId="7" fillId="6" borderId="9" xfId="12" applyFont="1" applyFill="1" applyBorder="1" applyAlignment="1">
      <alignment vertical="center"/>
    </xf>
    <xf numFmtId="0" fontId="22" fillId="13" borderId="0" xfId="0" applyFont="1" applyFill="1" applyBorder="1" applyAlignment="1" applyProtection="1">
      <alignment horizontal="center" vertical="center"/>
    </xf>
    <xf numFmtId="0" fontId="7" fillId="13" borderId="0" xfId="0" applyFont="1" applyFill="1" applyBorder="1" applyAlignment="1" applyProtection="1">
      <alignment horizontal="left" vertical="center"/>
    </xf>
    <xf numFmtId="37" fontId="0" fillId="13" borderId="0" xfId="0" applyNumberFormat="1" applyFont="1" applyFill="1" applyBorder="1" applyAlignment="1" applyProtection="1">
      <alignment horizontal="right" vertical="center"/>
    </xf>
    <xf numFmtId="37" fontId="0" fillId="13" borderId="0" xfId="0" applyNumberFormat="1" applyFont="1" applyFill="1" applyBorder="1" applyAlignment="1" applyProtection="1">
      <alignment vertical="center"/>
    </xf>
    <xf numFmtId="0" fontId="0" fillId="13" borderId="0" xfId="0" applyFont="1" applyFill="1" applyBorder="1" applyAlignment="1">
      <alignment horizontal="center" vertical="center"/>
    </xf>
    <xf numFmtId="168" fontId="3" fillId="13" borderId="0" xfId="1" applyNumberFormat="1" applyFont="1" applyFill="1" applyBorder="1" applyAlignment="1" applyProtection="1">
      <alignment horizontal="right" vertical="center"/>
      <protection locked="0"/>
    </xf>
    <xf numFmtId="168" fontId="7" fillId="3" borderId="24" xfId="1" applyNumberFormat="1" applyFont="1" applyFill="1" applyBorder="1" applyAlignment="1" applyProtection="1">
      <alignment horizontal="right" vertical="center"/>
    </xf>
    <xf numFmtId="1" fontId="0" fillId="13" borderId="0" xfId="0" applyNumberFormat="1" applyFont="1" applyFill="1" applyBorder="1" applyAlignment="1" applyProtection="1">
      <alignment horizontal="center" vertical="center"/>
    </xf>
    <xf numFmtId="168" fontId="7" fillId="3" borderId="27" xfId="1" applyNumberFormat="1" applyFont="1" applyFill="1" applyBorder="1" applyAlignment="1" applyProtection="1">
      <alignment horizontal="right" vertical="center"/>
    </xf>
    <xf numFmtId="168" fontId="7" fillId="16" borderId="28" xfId="1" applyNumberFormat="1" applyFont="1" applyFill="1" applyBorder="1" applyAlignment="1" applyProtection="1">
      <alignment horizontal="right" vertical="center"/>
    </xf>
    <xf numFmtId="168" fontId="7" fillId="3" borderId="28" xfId="1" applyNumberFormat="1" applyFont="1" applyFill="1" applyBorder="1" applyAlignment="1" applyProtection="1">
      <alignment horizontal="right" vertical="center"/>
    </xf>
    <xf numFmtId="168" fontId="7" fillId="3" borderId="29" xfId="1" applyNumberFormat="1" applyFont="1" applyFill="1" applyBorder="1" applyAlignment="1" applyProtection="1">
      <alignment horizontal="right" vertical="center"/>
    </xf>
    <xf numFmtId="168" fontId="7" fillId="16" borderId="24" xfId="1" applyNumberFormat="1" applyFont="1" applyFill="1" applyBorder="1" applyAlignment="1" applyProtection="1">
      <alignment horizontal="right" vertical="center"/>
    </xf>
    <xf numFmtId="168" fontId="7" fillId="16" borderId="25" xfId="1" applyNumberFormat="1" applyFont="1" applyFill="1" applyBorder="1" applyAlignment="1" applyProtection="1">
      <alignment horizontal="right" vertical="center"/>
    </xf>
    <xf numFmtId="168" fontId="7" fillId="16" borderId="26" xfId="1" applyNumberFormat="1" applyFont="1" applyFill="1" applyBorder="1" applyAlignment="1" applyProtection="1">
      <alignment horizontal="right" vertical="center"/>
    </xf>
    <xf numFmtId="168" fontId="7" fillId="13" borderId="0" xfId="1" applyNumberFormat="1" applyFont="1" applyFill="1" applyBorder="1" applyAlignment="1" applyProtection="1">
      <alignment horizontal="right" vertical="center"/>
    </xf>
    <xf numFmtId="168" fontId="7" fillId="8" borderId="9" xfId="1" applyNumberFormat="1" applyFont="1" applyFill="1" applyBorder="1" applyAlignment="1" applyProtection="1">
      <alignment horizontal="right" vertical="center"/>
    </xf>
    <xf numFmtId="9" fontId="7" fillId="8" borderId="9" xfId="12" applyFont="1" applyFill="1" applyBorder="1" applyAlignment="1" applyProtection="1">
      <alignment horizontal="right" vertical="center"/>
    </xf>
    <xf numFmtId="168" fontId="3" fillId="13" borderId="0" xfId="1" applyNumberFormat="1" applyFont="1" applyFill="1" applyBorder="1" applyAlignment="1" applyProtection="1">
      <alignment horizontal="right" vertical="center"/>
    </xf>
    <xf numFmtId="168" fontId="3" fillId="13" borderId="0" xfId="1" applyNumberFormat="1" applyFont="1" applyFill="1" applyAlignment="1">
      <alignment horizontal="right" vertical="center"/>
    </xf>
    <xf numFmtId="168" fontId="3" fillId="13" borderId="0" xfId="1" applyNumberFormat="1" applyFont="1" applyFill="1" applyAlignment="1">
      <alignment vertical="center"/>
    </xf>
    <xf numFmtId="0" fontId="22" fillId="13" borderId="0" xfId="0" quotePrefix="1" applyFont="1" applyFill="1" applyAlignment="1">
      <alignment horizontal="left" vertical="center"/>
    </xf>
    <xf numFmtId="168" fontId="22" fillId="13" borderId="0" xfId="1" quotePrefix="1" applyNumberFormat="1" applyFont="1" applyFill="1" applyAlignment="1">
      <alignment horizontal="right" vertical="center"/>
    </xf>
    <xf numFmtId="168" fontId="24" fillId="0" borderId="0" xfId="1" applyNumberFormat="1" applyFont="1" applyBorder="1" applyAlignment="1" applyProtection="1">
      <alignment horizontal="left" vertical="center" wrapText="1"/>
    </xf>
    <xf numFmtId="168" fontId="3" fillId="0" borderId="0" xfId="1" applyNumberFormat="1" applyFont="1" applyBorder="1" applyAlignment="1">
      <alignment vertical="center"/>
    </xf>
    <xf numFmtId="168" fontId="27" fillId="0" borderId="0" xfId="1" applyNumberFormat="1" applyFont="1" applyBorder="1" applyAlignment="1">
      <alignment horizontal="right" vertical="center"/>
    </xf>
    <xf numFmtId="168" fontId="0" fillId="0" borderId="0" xfId="1" applyNumberFormat="1" applyFont="1" applyBorder="1" applyAlignment="1" applyProtection="1">
      <alignment vertical="center" wrapText="1"/>
    </xf>
    <xf numFmtId="168" fontId="24" fillId="0" borderId="0" xfId="1" applyNumberFormat="1" applyFont="1" applyBorder="1" applyAlignment="1" applyProtection="1">
      <alignment horizontal="center" vertical="center"/>
    </xf>
    <xf numFmtId="168" fontId="45" fillId="0" borderId="0" xfId="1" applyNumberFormat="1" applyFont="1" applyBorder="1" applyAlignment="1" applyProtection="1">
      <alignment horizontal="center" vertical="center"/>
    </xf>
    <xf numFmtId="0" fontId="7" fillId="17" borderId="22" xfId="0" applyFont="1" applyFill="1" applyBorder="1" applyAlignment="1" applyProtection="1">
      <alignment horizontal="center" vertical="center" wrapText="1"/>
    </xf>
    <xf numFmtId="168" fontId="7" fillId="17" borderId="24" xfId="1" applyNumberFormat="1" applyFont="1" applyFill="1" applyBorder="1" applyAlignment="1" applyProtection="1">
      <alignment horizontal="center" vertical="center" wrapText="1"/>
    </xf>
    <xf numFmtId="170" fontId="7" fillId="17" borderId="25" xfId="1" applyNumberFormat="1" applyFont="1" applyFill="1" applyBorder="1" applyAlignment="1" applyProtection="1">
      <alignment horizontal="center" vertical="center"/>
    </xf>
    <xf numFmtId="168" fontId="7" fillId="17" borderId="25" xfId="1" applyNumberFormat="1" applyFont="1" applyFill="1" applyBorder="1" applyAlignment="1" applyProtection="1">
      <alignment horizontal="center" vertical="center" wrapText="1"/>
    </xf>
    <xf numFmtId="1" fontId="7" fillId="0" borderId="0" xfId="0" applyNumberFormat="1" applyFont="1" applyBorder="1" applyAlignment="1" applyProtection="1">
      <alignment horizontal="left" vertical="center" wrapText="1"/>
    </xf>
    <xf numFmtId="0" fontId="7" fillId="17" borderId="22" xfId="0" applyFont="1" applyFill="1" applyBorder="1" applyAlignment="1" applyProtection="1">
      <alignment horizontal="center" vertical="center"/>
    </xf>
    <xf numFmtId="5" fontId="7" fillId="17" borderId="31" xfId="3" applyFont="1" applyFill="1" applyBorder="1" applyAlignment="1" applyProtection="1">
      <alignment horizontal="center" vertical="center"/>
    </xf>
    <xf numFmtId="5" fontId="0" fillId="17" borderId="31" xfId="3" applyFont="1" applyFill="1" applyBorder="1" applyAlignment="1" applyProtection="1">
      <alignment vertical="center"/>
    </xf>
    <xf numFmtId="0" fontId="0" fillId="17" borderId="31" xfId="0" applyFont="1" applyFill="1" applyBorder="1" applyAlignment="1" applyProtection="1">
      <alignment horizontal="left" vertical="center" wrapText="1"/>
    </xf>
    <xf numFmtId="49" fontId="7" fillId="17" borderId="31" xfId="0" applyNumberFormat="1" applyFont="1" applyFill="1" applyBorder="1" applyAlignment="1" applyProtection="1">
      <alignment horizontal="left" vertical="center" wrapText="1"/>
    </xf>
    <xf numFmtId="0" fontId="7" fillId="17" borderId="26" xfId="0" applyFont="1" applyFill="1" applyBorder="1" applyAlignment="1">
      <alignment horizontal="left" vertical="center" wrapText="1"/>
    </xf>
    <xf numFmtId="0" fontId="7" fillId="17" borderId="26" xfId="0" applyFont="1" applyFill="1" applyBorder="1" applyAlignment="1" applyProtection="1">
      <alignment vertical="center"/>
    </xf>
    <xf numFmtId="0" fontId="22" fillId="0" borderId="0" xfId="0" applyFont="1" applyAlignment="1">
      <alignment horizontal="center" vertical="center"/>
    </xf>
    <xf numFmtId="0" fontId="46" fillId="0" borderId="0" xfId="0" applyFont="1" applyAlignment="1">
      <alignment horizontal="center" vertical="center"/>
    </xf>
    <xf numFmtId="171" fontId="47" fillId="0" borderId="0" xfId="133" applyNumberFormat="1" applyFont="1" applyFill="1" applyBorder="1" applyAlignment="1">
      <alignment horizontal="right" vertical="center"/>
    </xf>
    <xf numFmtId="170" fontId="7" fillId="17" borderId="26" xfId="1" applyNumberFormat="1" applyFont="1" applyFill="1" applyBorder="1" applyAlignment="1" applyProtection="1">
      <alignment horizontal="center" vertical="center"/>
    </xf>
    <xf numFmtId="168" fontId="3" fillId="11" borderId="9" xfId="1" applyNumberFormat="1" applyFont="1" applyFill="1" applyBorder="1" applyAlignment="1" applyProtection="1">
      <alignment vertical="center"/>
      <protection locked="0"/>
    </xf>
    <xf numFmtId="168" fontId="3" fillId="11" borderId="9" xfId="1" applyNumberFormat="1" applyFont="1" applyFill="1" applyBorder="1" applyAlignment="1" applyProtection="1">
      <alignment horizontal="right" vertical="center"/>
      <protection locked="0"/>
    </xf>
    <xf numFmtId="168" fontId="49" fillId="0" borderId="0" xfId="1" applyNumberFormat="1" applyFont="1" applyBorder="1" applyAlignment="1" applyProtection="1">
      <alignment vertical="center"/>
    </xf>
    <xf numFmtId="168" fontId="27" fillId="0" borderId="0" xfId="1" applyNumberFormat="1" applyFont="1" applyBorder="1" applyAlignment="1" applyProtection="1">
      <alignment horizontal="left" vertical="center"/>
    </xf>
    <xf numFmtId="168" fontId="3" fillId="8" borderId="0" xfId="1" applyNumberFormat="1" applyFont="1" applyFill="1" applyAlignment="1" applyProtection="1">
      <alignment vertical="center"/>
    </xf>
    <xf numFmtId="168" fontId="3" fillId="11" borderId="0" xfId="1" applyNumberFormat="1" applyFont="1" applyFill="1" applyAlignment="1" applyProtection="1">
      <alignment vertical="center"/>
    </xf>
    <xf numFmtId="168" fontId="48" fillId="0" borderId="0" xfId="1" applyNumberFormat="1" applyFont="1" applyFill="1" applyBorder="1" applyAlignment="1" applyProtection="1">
      <alignment horizontal="left" vertical="center"/>
    </xf>
    <xf numFmtId="168" fontId="3" fillId="11" borderId="0" xfId="1" applyNumberFormat="1" applyFont="1" applyFill="1" applyBorder="1" applyAlignment="1" applyProtection="1">
      <alignment vertical="center"/>
      <protection locked="0"/>
    </xf>
    <xf numFmtId="168" fontId="3" fillId="8" borderId="0" xfId="1" applyNumberFormat="1" applyFont="1" applyFill="1" applyBorder="1" applyAlignment="1" applyProtection="1">
      <alignment vertical="center"/>
    </xf>
    <xf numFmtId="168" fontId="22" fillId="0" borderId="0" xfId="1" applyNumberFormat="1" applyFont="1" applyBorder="1" applyAlignment="1" applyProtection="1">
      <alignment horizontal="left" vertical="center"/>
    </xf>
    <xf numFmtId="168" fontId="3" fillId="0" borderId="0" xfId="1" quotePrefix="1" applyNumberFormat="1" applyFont="1" applyBorder="1" applyAlignment="1" applyProtection="1">
      <alignment vertical="center"/>
    </xf>
    <xf numFmtId="168" fontId="3" fillId="0" borderId="0" xfId="1" quotePrefix="1" applyNumberFormat="1" applyFont="1" applyBorder="1" applyAlignment="1" applyProtection="1">
      <alignment horizontal="left" vertical="center"/>
    </xf>
    <xf numFmtId="168" fontId="22" fillId="0" borderId="0" xfId="1" applyNumberFormat="1" applyFont="1" applyFill="1" applyBorder="1" applyAlignment="1" applyProtection="1">
      <alignment vertical="center"/>
    </xf>
    <xf numFmtId="168" fontId="50" fillId="0" borderId="0" xfId="1" applyNumberFormat="1" applyFont="1" applyBorder="1" applyAlignment="1" applyProtection="1">
      <alignment vertical="center"/>
    </xf>
    <xf numFmtId="168" fontId="7" fillId="7" borderId="0" xfId="1" applyNumberFormat="1" applyFont="1" applyFill="1" applyBorder="1" applyAlignment="1" applyProtection="1">
      <alignment vertical="center"/>
    </xf>
    <xf numFmtId="168" fontId="3" fillId="7" borderId="0" xfId="1" applyNumberFormat="1" applyFont="1" applyFill="1" applyAlignment="1" applyProtection="1">
      <alignment vertical="center"/>
    </xf>
    <xf numFmtId="168" fontId="27" fillId="0" borderId="0" xfId="1" applyNumberFormat="1" applyFont="1" applyFill="1" applyBorder="1" applyAlignment="1" applyProtection="1">
      <alignment horizontal="center" vertical="center"/>
    </xf>
    <xf numFmtId="173" fontId="22" fillId="0" borderId="0" xfId="1" applyNumberFormat="1" applyFont="1" applyBorder="1" applyAlignment="1" applyProtection="1">
      <alignment horizontal="center" vertical="center"/>
    </xf>
    <xf numFmtId="171" fontId="22" fillId="0" borderId="0" xfId="133" applyNumberFormat="1" applyFont="1" applyFill="1" applyBorder="1" applyAlignment="1">
      <alignment horizontal="center" vertical="center"/>
    </xf>
    <xf numFmtId="0" fontId="36" fillId="19" borderId="0" xfId="135" applyFont="1" applyFill="1" applyBorder="1" applyAlignment="1">
      <alignment vertical="center"/>
    </xf>
    <xf numFmtId="0" fontId="37" fillId="19" borderId="0" xfId="135" applyFont="1" applyFill="1" applyBorder="1" applyAlignment="1">
      <alignment vertical="center"/>
    </xf>
    <xf numFmtId="9" fontId="0" fillId="19" borderId="0" xfId="0" applyNumberFormat="1" applyFont="1" applyFill="1" applyAlignment="1">
      <alignment vertical="center"/>
    </xf>
    <xf numFmtId="0" fontId="0" fillId="19" borderId="0" xfId="0" applyFont="1" applyFill="1" applyAlignment="1">
      <alignment vertical="center"/>
    </xf>
    <xf numFmtId="168" fontId="0" fillId="0" borderId="0" xfId="1" applyNumberFormat="1" applyFont="1" applyFill="1" applyAlignment="1" applyProtection="1">
      <alignment vertical="center"/>
    </xf>
    <xf numFmtId="168" fontId="27" fillId="0" borderId="0" xfId="1" applyNumberFormat="1" applyFont="1" applyFill="1" applyAlignment="1" applyProtection="1">
      <alignment vertical="center"/>
    </xf>
    <xf numFmtId="168" fontId="7" fillId="3" borderId="9" xfId="1" applyNumberFormat="1" applyFont="1" applyFill="1" applyBorder="1" applyAlignment="1" applyProtection="1">
      <alignment horizontal="right" vertical="center"/>
    </xf>
    <xf numFmtId="168" fontId="7" fillId="0" borderId="0" xfId="1" applyNumberFormat="1" applyFont="1" applyFill="1" applyBorder="1" applyAlignment="1" applyProtection="1">
      <alignment horizontal="center" vertical="center"/>
    </xf>
    <xf numFmtId="168" fontId="7" fillId="0" borderId="0" xfId="1" applyNumberFormat="1" applyFont="1" applyBorder="1" applyAlignment="1" applyProtection="1">
      <alignment horizontal="center" vertical="center"/>
    </xf>
    <xf numFmtId="168" fontId="37" fillId="0" borderId="0" xfId="1" applyNumberFormat="1" applyFont="1" applyFill="1" applyBorder="1" applyAlignment="1">
      <alignment vertical="center"/>
    </xf>
    <xf numFmtId="168" fontId="37" fillId="0" borderId="0" xfId="1" applyNumberFormat="1" applyFont="1" applyAlignment="1">
      <alignment vertical="center"/>
    </xf>
    <xf numFmtId="168" fontId="37" fillId="0" borderId="0" xfId="1" applyNumberFormat="1" applyFont="1" applyFill="1" applyAlignment="1">
      <alignment vertical="center"/>
    </xf>
    <xf numFmtId="168" fontId="37" fillId="0" borderId="0" xfId="1" applyNumberFormat="1" applyFont="1" applyAlignment="1">
      <alignment horizontal="center" vertical="center"/>
    </xf>
    <xf numFmtId="168" fontId="7" fillId="8" borderId="15" xfId="1" applyNumberFormat="1" applyFont="1" applyFill="1" applyBorder="1" applyAlignment="1">
      <alignment horizontal="center" vertical="center"/>
    </xf>
    <xf numFmtId="168" fontId="7" fillId="6" borderId="15" xfId="1" applyNumberFormat="1" applyFont="1" applyFill="1" applyBorder="1" applyAlignment="1" applyProtection="1">
      <alignment horizontal="center" vertical="center"/>
    </xf>
    <xf numFmtId="168" fontId="25" fillId="0" borderId="0" xfId="1" applyNumberFormat="1" applyFont="1" applyFill="1" applyBorder="1" applyAlignment="1">
      <alignment vertical="center"/>
    </xf>
    <xf numFmtId="168" fontId="37" fillId="0" borderId="0" xfId="1" applyNumberFormat="1" applyFont="1" applyFill="1" applyAlignment="1">
      <alignment horizontal="center" vertical="center"/>
    </xf>
    <xf numFmtId="168" fontId="27" fillId="0" borderId="0" xfId="1" applyNumberFormat="1" applyFont="1" applyFill="1" applyBorder="1" applyAlignment="1">
      <alignment vertical="center"/>
    </xf>
    <xf numFmtId="168" fontId="27" fillId="0" borderId="0" xfId="1" applyNumberFormat="1" applyFont="1" applyFill="1" applyBorder="1" applyAlignment="1">
      <alignment horizontal="right" vertical="center"/>
    </xf>
    <xf numFmtId="168" fontId="36" fillId="0" borderId="0" xfId="1" applyNumberFormat="1" applyFont="1" applyFill="1" applyBorder="1" applyAlignment="1">
      <alignment horizontal="left" vertical="center"/>
    </xf>
    <xf numFmtId="168" fontId="37" fillId="0" borderId="0" xfId="1" applyNumberFormat="1" applyFont="1" applyFill="1" applyBorder="1" applyAlignment="1">
      <alignment horizontal="left" vertical="center"/>
    </xf>
    <xf numFmtId="168" fontId="7" fillId="0" borderId="0" xfId="1" applyNumberFormat="1" applyFont="1" applyFill="1" applyBorder="1" applyAlignment="1">
      <alignment vertical="center"/>
    </xf>
    <xf numFmtId="168" fontId="37" fillId="0" borderId="0" xfId="1" applyNumberFormat="1" applyFont="1" applyFill="1" applyBorder="1" applyAlignment="1">
      <alignment horizontal="center" vertical="center"/>
    </xf>
    <xf numFmtId="168" fontId="36" fillId="0" borderId="0" xfId="1" applyNumberFormat="1" applyFont="1" applyFill="1" applyBorder="1" applyAlignment="1">
      <alignment vertical="center"/>
    </xf>
    <xf numFmtId="168" fontId="37" fillId="0" borderId="32" xfId="1" applyNumberFormat="1" applyFont="1" applyFill="1" applyBorder="1" applyAlignment="1">
      <alignment vertical="center"/>
    </xf>
    <xf numFmtId="168" fontId="37" fillId="0" borderId="32" xfId="1" applyNumberFormat="1" applyFont="1" applyBorder="1" applyAlignment="1">
      <alignment vertical="center"/>
    </xf>
    <xf numFmtId="168" fontId="25" fillId="0" borderId="0" xfId="1" applyNumberFormat="1" applyFont="1" applyFill="1" applyBorder="1" applyAlignment="1">
      <alignment horizontal="center" vertical="center"/>
    </xf>
    <xf numFmtId="168" fontId="43" fillId="0" borderId="0" xfId="1" applyNumberFormat="1" applyFont="1" applyFill="1" applyBorder="1" applyAlignment="1">
      <alignment vertical="center"/>
    </xf>
    <xf numFmtId="168" fontId="3" fillId="0" borderId="0" xfId="1" applyNumberFormat="1" applyFont="1" applyFill="1" applyBorder="1" applyAlignment="1">
      <alignment horizontal="center" vertical="center"/>
    </xf>
    <xf numFmtId="168" fontId="7" fillId="0" borderId="0" xfId="1" applyNumberFormat="1" applyFont="1" applyFill="1" applyBorder="1" applyAlignment="1">
      <alignment horizontal="center" vertical="center"/>
    </xf>
    <xf numFmtId="168" fontId="0" fillId="0" borderId="0" xfId="1" applyNumberFormat="1" applyFont="1" applyFill="1" applyBorder="1" applyAlignment="1">
      <alignment vertical="center"/>
    </xf>
    <xf numFmtId="168" fontId="37" fillId="0" borderId="0" xfId="1" applyNumberFormat="1" applyFont="1" applyBorder="1" applyAlignment="1">
      <alignment vertical="center"/>
    </xf>
    <xf numFmtId="168" fontId="43" fillId="0" borderId="0" xfId="1" applyNumberFormat="1" applyFont="1" applyBorder="1" applyAlignment="1">
      <alignment vertical="center"/>
    </xf>
    <xf numFmtId="168" fontId="35" fillId="12" borderId="0" xfId="1" applyNumberFormat="1" applyFont="1" applyFill="1" applyBorder="1" applyAlignment="1">
      <alignment vertical="center"/>
    </xf>
    <xf numFmtId="171" fontId="37" fillId="20" borderId="0" xfId="133" applyNumberFormat="1" applyFont="1" applyFill="1" applyBorder="1" applyAlignment="1">
      <alignment vertical="center"/>
    </xf>
    <xf numFmtId="171" fontId="0" fillId="20" borderId="0" xfId="133" applyNumberFormat="1" applyFont="1" applyFill="1" applyBorder="1" applyAlignment="1">
      <alignment vertical="center"/>
    </xf>
    <xf numFmtId="171" fontId="3" fillId="20" borderId="0" xfId="133" applyNumberFormat="1" applyFont="1" applyFill="1" applyBorder="1" applyAlignment="1">
      <alignment horizontal="left" vertical="center"/>
    </xf>
    <xf numFmtId="171" fontId="53" fillId="0" borderId="0" xfId="133" applyNumberFormat="1" applyFont="1" applyFill="1" applyBorder="1" applyAlignment="1">
      <alignment vertical="center"/>
    </xf>
    <xf numFmtId="171" fontId="54" fillId="0" borderId="0" xfId="133" applyNumberFormat="1" applyFont="1" applyFill="1" applyBorder="1" applyAlignment="1">
      <alignment horizontal="center" vertical="center"/>
    </xf>
    <xf numFmtId="171" fontId="53" fillId="0" borderId="0" xfId="133" applyNumberFormat="1" applyFont="1" applyFill="1" applyBorder="1" applyAlignment="1">
      <alignment horizontal="center" vertical="center"/>
    </xf>
    <xf numFmtId="171" fontId="55" fillId="0" borderId="0" xfId="133" applyNumberFormat="1" applyFont="1" applyFill="1" applyBorder="1" applyAlignment="1">
      <alignment vertical="center"/>
    </xf>
    <xf numFmtId="171" fontId="56" fillId="0" borderId="0" xfId="133" applyNumberFormat="1" applyFont="1" applyFill="1" applyBorder="1" applyAlignment="1">
      <alignment horizontal="right" vertical="center"/>
    </xf>
    <xf numFmtId="171" fontId="55" fillId="0" borderId="0" xfId="133" applyNumberFormat="1" applyFont="1" applyFill="1" applyBorder="1" applyAlignment="1">
      <alignment horizontal="right" vertical="center"/>
    </xf>
    <xf numFmtId="171" fontId="53" fillId="0" borderId="32" xfId="133" applyNumberFormat="1" applyFont="1" applyFill="1" applyBorder="1" applyAlignment="1">
      <alignment vertical="center"/>
    </xf>
    <xf numFmtId="171" fontId="3" fillId="20" borderId="0" xfId="133" applyNumberFormat="1" applyFont="1" applyFill="1" applyBorder="1" applyAlignment="1">
      <alignment vertical="center"/>
    </xf>
    <xf numFmtId="10" fontId="7" fillId="0" borderId="0" xfId="12" applyNumberFormat="1" applyFont="1" applyFill="1" applyBorder="1" applyAlignment="1">
      <alignment vertical="center"/>
    </xf>
    <xf numFmtId="168" fontId="58" fillId="0" borderId="0" xfId="1" applyNumberFormat="1" applyFont="1" applyFill="1" applyBorder="1" applyAlignment="1">
      <alignment vertical="center"/>
    </xf>
    <xf numFmtId="168" fontId="58" fillId="0" borderId="0" xfId="1" applyNumberFormat="1" applyFont="1" applyFill="1" applyBorder="1" applyAlignment="1">
      <alignment horizontal="right" vertical="center"/>
    </xf>
    <xf numFmtId="168" fontId="59" fillId="0" borderId="0" xfId="1" applyNumberFormat="1" applyFont="1" applyFill="1" applyBorder="1" applyAlignment="1">
      <alignment horizontal="right" vertical="center"/>
    </xf>
    <xf numFmtId="168" fontId="60" fillId="0" borderId="0" xfId="1" applyNumberFormat="1" applyFont="1" applyFill="1" applyBorder="1" applyAlignment="1">
      <alignment horizontal="right" vertical="center"/>
    </xf>
    <xf numFmtId="168" fontId="61" fillId="0" borderId="0" xfId="1" applyNumberFormat="1" applyFont="1" applyFill="1" applyBorder="1" applyAlignment="1">
      <alignment horizontal="right" vertical="center"/>
    </xf>
    <xf numFmtId="168" fontId="62" fillId="0" borderId="0" xfId="1" applyNumberFormat="1" applyFont="1" applyFill="1" applyBorder="1" applyAlignment="1" applyProtection="1">
      <alignment horizontal="right" vertical="center"/>
    </xf>
    <xf numFmtId="168" fontId="57" fillId="0" borderId="0" xfId="1" applyNumberFormat="1" applyFont="1" applyFill="1" applyBorder="1" applyAlignment="1">
      <alignment vertical="center"/>
    </xf>
    <xf numFmtId="168" fontId="63" fillId="0" borderId="0" xfId="1" applyNumberFormat="1" applyFont="1" applyFill="1" applyBorder="1" applyAlignment="1">
      <alignment vertical="center"/>
    </xf>
    <xf numFmtId="168" fontId="59" fillId="0" borderId="0" xfId="1" applyNumberFormat="1" applyFont="1" applyFill="1" applyBorder="1" applyAlignment="1">
      <alignment vertical="center"/>
    </xf>
    <xf numFmtId="168" fontId="64" fillId="0" borderId="0" xfId="1" applyNumberFormat="1" applyFont="1" applyFill="1" applyBorder="1" applyAlignment="1">
      <alignment vertical="center"/>
    </xf>
    <xf numFmtId="168" fontId="62" fillId="0" borderId="0" xfId="1" applyNumberFormat="1" applyFont="1" applyFill="1" applyBorder="1" applyAlignment="1">
      <alignment vertical="center"/>
    </xf>
    <xf numFmtId="10" fontId="58" fillId="0" borderId="0" xfId="12" applyNumberFormat="1" applyFont="1" applyFill="1" applyBorder="1" applyAlignment="1">
      <alignment vertical="center"/>
    </xf>
    <xf numFmtId="9" fontId="53" fillId="0" borderId="0" xfId="12" applyFont="1" applyFill="1" applyBorder="1" applyAlignment="1">
      <alignment vertical="center"/>
    </xf>
    <xf numFmtId="168" fontId="22" fillId="0" borderId="0" xfId="1" applyNumberFormat="1" applyFont="1" applyFill="1" applyBorder="1" applyAlignment="1">
      <alignment vertical="center"/>
    </xf>
    <xf numFmtId="168" fontId="24" fillId="0" borderId="0" xfId="1" applyNumberFormat="1" applyFont="1" applyFill="1" applyBorder="1" applyAlignment="1">
      <alignment vertical="center"/>
    </xf>
    <xf numFmtId="168" fontId="3" fillId="0" borderId="0" xfId="1" applyNumberFormat="1" applyFont="1" applyBorder="1" applyAlignment="1">
      <alignment horizontal="center" vertical="center"/>
    </xf>
    <xf numFmtId="171" fontId="33" fillId="0" borderId="0" xfId="133" applyNumberFormat="1" applyFont="1" applyFill="1" applyBorder="1" applyAlignment="1">
      <alignment horizontal="right" vertical="center"/>
    </xf>
    <xf numFmtId="168" fontId="0" fillId="0" borderId="12" xfId="1" applyNumberFormat="1" applyFont="1" applyBorder="1" applyAlignment="1" applyProtection="1">
      <alignment horizontal="center" vertical="center"/>
    </xf>
    <xf numFmtId="168" fontId="3" fillId="0" borderId="12" xfId="1" applyNumberFormat="1" applyFont="1" applyBorder="1" applyAlignment="1" applyProtection="1">
      <alignment horizontal="center" vertical="center"/>
    </xf>
    <xf numFmtId="168" fontId="0" fillId="0" borderId="0" xfId="1" applyNumberFormat="1" applyFont="1" applyAlignment="1">
      <alignment horizontal="center" vertical="center"/>
    </xf>
    <xf numFmtId="168" fontId="3" fillId="0" borderId="0" xfId="1" applyNumberFormat="1" applyFont="1" applyAlignment="1">
      <alignment horizontal="center" vertical="center"/>
    </xf>
    <xf numFmtId="168" fontId="7" fillId="0" borderId="0" xfId="1" applyNumberFormat="1" applyFont="1" applyFill="1" applyBorder="1" applyAlignment="1" applyProtection="1">
      <alignment horizontal="center" vertical="center"/>
    </xf>
    <xf numFmtId="168" fontId="19" fillId="0" borderId="0" xfId="1" applyNumberFormat="1" applyFont="1" applyFill="1" applyBorder="1" applyAlignment="1" applyProtection="1">
      <alignment horizontal="center" vertical="center"/>
    </xf>
    <xf numFmtId="168" fontId="25" fillId="12" borderId="17" xfId="1" applyNumberFormat="1" applyFont="1" applyFill="1" applyBorder="1" applyAlignment="1" applyProtection="1">
      <alignment horizontal="center" vertical="center" wrapText="1"/>
    </xf>
    <xf numFmtId="168" fontId="25" fillId="12" borderId="18" xfId="1" applyNumberFormat="1" applyFont="1" applyFill="1" applyBorder="1" applyAlignment="1" applyProtection="1">
      <alignment horizontal="center" vertical="center" wrapText="1"/>
    </xf>
    <xf numFmtId="168" fontId="9" fillId="0" borderId="2" xfId="1" applyNumberFormat="1" applyFont="1" applyBorder="1" applyAlignment="1" applyProtection="1">
      <alignment horizontal="center" vertical="center"/>
    </xf>
    <xf numFmtId="168" fontId="9" fillId="0" borderId="16" xfId="1" applyNumberFormat="1" applyFont="1" applyBorder="1" applyAlignment="1" applyProtection="1">
      <alignment horizontal="center" vertical="center"/>
    </xf>
    <xf numFmtId="168" fontId="9" fillId="0" borderId="4" xfId="1" applyNumberFormat="1" applyFont="1" applyBorder="1" applyAlignment="1" applyProtection="1">
      <alignment horizontal="center" vertical="center"/>
    </xf>
    <xf numFmtId="168" fontId="7" fillId="0" borderId="5" xfId="1" applyNumberFormat="1" applyFont="1" applyBorder="1" applyAlignment="1" applyProtection="1">
      <alignment horizontal="center" vertical="center"/>
    </xf>
    <xf numFmtId="168" fontId="7" fillId="0" borderId="1" xfId="1" applyNumberFormat="1" applyFont="1" applyBorder="1" applyAlignment="1" applyProtection="1">
      <alignment horizontal="center" vertical="center"/>
    </xf>
    <xf numFmtId="168" fontId="7" fillId="0" borderId="6" xfId="1" applyNumberFormat="1" applyFont="1" applyBorder="1" applyAlignment="1" applyProtection="1">
      <alignment horizontal="center" vertical="center"/>
    </xf>
    <xf numFmtId="0" fontId="7" fillId="0" borderId="0" xfId="2"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168" fontId="14" fillId="0" borderId="0" xfId="1" applyNumberFormat="1" applyFont="1" applyBorder="1" applyAlignment="1" applyProtection="1">
      <alignment horizontal="center" vertical="center"/>
    </xf>
    <xf numFmtId="168" fontId="7" fillId="18" borderId="22" xfId="1" applyNumberFormat="1" applyFont="1" applyFill="1" applyBorder="1" applyAlignment="1">
      <alignment horizontal="center" vertical="center"/>
    </xf>
    <xf numFmtId="168" fontId="7" fillId="18" borderId="23" xfId="1" applyNumberFormat="1" applyFont="1" applyFill="1" applyBorder="1" applyAlignment="1">
      <alignment horizontal="center" vertical="center"/>
    </xf>
    <xf numFmtId="168" fontId="24" fillId="0" borderId="30" xfId="1" applyNumberFormat="1" applyFont="1" applyBorder="1" applyAlignment="1">
      <alignment horizontal="center" vertical="center"/>
    </xf>
    <xf numFmtId="168" fontId="7" fillId="0" borderId="0" xfId="1" applyNumberFormat="1" applyFont="1" applyBorder="1" applyAlignment="1" applyProtection="1">
      <alignment horizontal="center" vertical="center"/>
    </xf>
    <xf numFmtId="43" fontId="7" fillId="14" borderId="20" xfId="0" applyNumberFormat="1" applyFont="1" applyFill="1" applyBorder="1" applyAlignment="1">
      <alignment horizontal="center" vertical="center"/>
    </xf>
    <xf numFmtId="43" fontId="7" fillId="14" borderId="21" xfId="0" applyNumberFormat="1" applyFont="1" applyFill="1" applyBorder="1" applyAlignment="1">
      <alignment horizontal="center" vertical="center"/>
    </xf>
    <xf numFmtId="0" fontId="7" fillId="15" borderId="22" xfId="0" applyFont="1" applyFill="1" applyBorder="1" applyAlignment="1">
      <alignment horizontal="center" vertical="center"/>
    </xf>
    <xf numFmtId="0" fontId="7" fillId="15" borderId="23" xfId="0" applyFont="1" applyFill="1" applyBorder="1" applyAlignment="1">
      <alignment horizontal="center" vertical="center"/>
    </xf>
    <xf numFmtId="43" fontId="7" fillId="14" borderId="22" xfId="0" applyNumberFormat="1" applyFont="1" applyFill="1" applyBorder="1" applyAlignment="1">
      <alignment horizontal="center" vertical="center"/>
    </xf>
    <xf numFmtId="43" fontId="7" fillId="14" borderId="23" xfId="0" applyNumberFormat="1" applyFont="1" applyFill="1" applyBorder="1" applyAlignment="1">
      <alignment horizontal="center" vertical="center"/>
    </xf>
    <xf numFmtId="168" fontId="22" fillId="0" borderId="0" xfId="1" applyNumberFormat="1" applyFont="1" applyFill="1" applyBorder="1" applyAlignment="1">
      <alignment horizontal="center" vertical="center"/>
    </xf>
    <xf numFmtId="168" fontId="51" fillId="0" borderId="2" xfId="1" applyNumberFormat="1" applyFont="1" applyBorder="1" applyAlignment="1">
      <alignment horizontal="left" vertical="center"/>
    </xf>
    <xf numFmtId="168" fontId="51" fillId="0" borderId="16" xfId="1" applyNumberFormat="1" applyFont="1" applyBorder="1" applyAlignment="1">
      <alignment horizontal="left" vertical="center"/>
    </xf>
    <xf numFmtId="168" fontId="51" fillId="0" borderId="4" xfId="1" applyNumberFormat="1" applyFont="1" applyBorder="1" applyAlignment="1">
      <alignment horizontal="left" vertical="center"/>
    </xf>
    <xf numFmtId="168" fontId="51" fillId="0" borderId="5" xfId="1" applyNumberFormat="1" applyFont="1" applyBorder="1" applyAlignment="1">
      <alignment horizontal="left" vertical="center"/>
    </xf>
    <xf numFmtId="168" fontId="51" fillId="0" borderId="1" xfId="1" applyNumberFormat="1" applyFont="1" applyBorder="1" applyAlignment="1">
      <alignment horizontal="left" vertical="center"/>
    </xf>
    <xf numFmtId="168" fontId="51" fillId="0" borderId="6" xfId="1" applyNumberFormat="1" applyFont="1" applyBorder="1" applyAlignment="1">
      <alignment horizontal="left" vertical="center"/>
    </xf>
    <xf numFmtId="168" fontId="51" fillId="0" borderId="2" xfId="1" applyNumberFormat="1" applyFont="1" applyFill="1" applyBorder="1" applyAlignment="1">
      <alignment horizontal="center" vertical="center" wrapText="1"/>
    </xf>
    <xf numFmtId="168" fontId="51" fillId="0" borderId="16" xfId="1" applyNumberFormat="1" applyFont="1" applyFill="1" applyBorder="1" applyAlignment="1">
      <alignment horizontal="center" vertical="center" wrapText="1"/>
    </xf>
    <xf numFmtId="168" fontId="51" fillId="0" borderId="4" xfId="1" applyNumberFormat="1" applyFont="1" applyFill="1" applyBorder="1" applyAlignment="1">
      <alignment horizontal="center" vertical="center" wrapText="1"/>
    </xf>
    <xf numFmtId="168" fontId="51" fillId="0" borderId="5" xfId="1" applyNumberFormat="1" applyFont="1" applyFill="1" applyBorder="1" applyAlignment="1">
      <alignment horizontal="center" vertical="center" wrapText="1"/>
    </xf>
    <xf numFmtId="168" fontId="51" fillId="0" borderId="1" xfId="1" applyNumberFormat="1" applyFont="1" applyFill="1" applyBorder="1" applyAlignment="1">
      <alignment horizontal="center" vertical="center" wrapText="1"/>
    </xf>
    <xf numFmtId="168" fontId="51" fillId="0" borderId="6" xfId="1" applyNumberFormat="1" applyFont="1" applyFill="1" applyBorder="1" applyAlignment="1">
      <alignment horizontal="center" vertical="center" wrapText="1"/>
    </xf>
    <xf numFmtId="0" fontId="27" fillId="13" borderId="0" xfId="0" applyFont="1" applyFill="1" applyBorder="1" applyAlignment="1" applyProtection="1">
      <alignment horizontal="center" vertical="center"/>
    </xf>
    <xf numFmtId="0" fontId="27" fillId="13" borderId="0" xfId="0" applyFont="1" applyFill="1" applyAlignment="1">
      <alignment horizontal="left" vertical="center"/>
    </xf>
    <xf numFmtId="0" fontId="7" fillId="13" borderId="0" xfId="0" applyFont="1" applyFill="1" applyBorder="1" applyAlignment="1" applyProtection="1">
      <alignment horizontal="center" vertical="center"/>
    </xf>
  </cellXfs>
  <cellStyles count="615">
    <cellStyle name="Comma" xfId="1" builtinId="3"/>
    <cellStyle name="Comma 2" xfId="5"/>
    <cellStyle name="Comma 3" xfId="133"/>
    <cellStyle name="Currency" xfId="11" builtinId="4"/>
    <cellStyle name="Currency 2" xfId="6"/>
    <cellStyle name="Currency 3" xfId="274"/>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Normal" xfId="0" builtinId="0"/>
    <cellStyle name="Normal 2" xfId="7"/>
    <cellStyle name="Normal 3" xfId="8"/>
    <cellStyle name="Normal 4" xfId="9"/>
    <cellStyle name="Normal 5" xfId="10"/>
    <cellStyle name="Normal 6" xfId="4"/>
    <cellStyle name="Normal 7" xfId="135"/>
    <cellStyle name="Normal_Ubal" xfId="3"/>
    <cellStyle name="Normal_Ubal 2" xfId="273"/>
    <cellStyle name="Normal_Ufun" xfId="2"/>
    <cellStyle name="Normal_Ufun 2" xfId="272"/>
    <cellStyle name="Percent" xfId="12" builtinId="5"/>
    <cellStyle name="Percent 2" xfId="134"/>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CCECFF"/>
      <color rgb="FF8DB4E2"/>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teece\Documents\Charter%20&amp;%20DH\Budget\2015-16\DreamHouse%20Financial%20Model%20(2.1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1. BudgetSumm"/>
      <sheetName val="A2. Bgt_FuncExp Yr 0"/>
      <sheetName val="A2. Bgt_FuncExp Yr 1"/>
      <sheetName val="A2. Bgt_FuncExp Yr 2"/>
      <sheetName val="A2. Bgt_FuncExp Yr 3"/>
      <sheetName val="Cash Paid to Vendors"/>
      <sheetName val="A3. Estimated Cash Flow Yr 0"/>
      <sheetName val="A3. Estimated Cash Flow Yr 1"/>
      <sheetName val="A3. Estimated Cash Flow Yr 2"/>
      <sheetName val="A3. Estimated Cash Flow Yr 3"/>
      <sheetName val="Personnel Cost Breakdown"/>
      <sheetName val="Fundraising Pipeline Years 0-3"/>
      <sheetName val="Amortization Table"/>
      <sheetName val="Contingency Model"/>
    </sheetNames>
    <sheetDataSet>
      <sheetData sheetId="0"/>
      <sheetData sheetId="1">
        <row r="2">
          <cell r="B2" t="str">
            <v>DreamHouse Ewa Beach</v>
          </cell>
        </row>
      </sheetData>
      <sheetData sheetId="2"/>
      <sheetData sheetId="3"/>
      <sheetData sheetId="4">
        <row r="5">
          <cell r="E5">
            <v>1000</v>
          </cell>
        </row>
      </sheetData>
      <sheetData sheetId="5"/>
      <sheetData sheetId="6">
        <row r="5">
          <cell r="E5">
            <v>1000</v>
          </cell>
        </row>
      </sheetData>
      <sheetData sheetId="7">
        <row r="11">
          <cell r="E11">
            <v>0</v>
          </cell>
        </row>
      </sheetData>
      <sheetData sheetId="8">
        <row r="11">
          <cell r="E11">
            <v>650000</v>
          </cell>
        </row>
      </sheetData>
      <sheetData sheetId="9">
        <row r="11">
          <cell r="E11">
            <v>1300000</v>
          </cell>
        </row>
      </sheetData>
      <sheetData sheetId="10">
        <row r="11">
          <cell r="E11">
            <v>1950000</v>
          </cell>
        </row>
      </sheetData>
      <sheetData sheetId="11">
        <row r="6">
          <cell r="I6">
            <v>80000</v>
          </cell>
        </row>
      </sheetData>
      <sheetData sheetId="12">
        <row r="7">
          <cell r="J7">
            <v>407500</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DB4E2"/>
    <pageSetUpPr fitToPage="1"/>
  </sheetPr>
  <dimension ref="A1:T56"/>
  <sheetViews>
    <sheetView view="pageBreakPreview" zoomScale="70" zoomScaleNormal="100" zoomScaleSheetLayoutView="70" workbookViewId="0">
      <selection activeCell="N11" sqref="N11"/>
    </sheetView>
  </sheetViews>
  <sheetFormatPr defaultColWidth="8.77734375" defaultRowHeight="16.95" customHeight="1" x14ac:dyDescent="0.25"/>
  <cols>
    <col min="1" max="1" width="2.6640625" style="2" customWidth="1"/>
    <col min="2" max="2" width="5.44140625" style="124" customWidth="1"/>
    <col min="3" max="3" width="8.6640625" style="2" customWidth="1"/>
    <col min="4" max="4" width="25.33203125" style="2" customWidth="1"/>
    <col min="5" max="5" width="2" style="2" customWidth="1"/>
    <col min="6" max="9" width="17.6640625" style="2" customWidth="1"/>
    <col min="10" max="10" width="2.33203125" style="2" customWidth="1"/>
    <col min="11" max="11" width="6.109375" style="2" bestFit="1" customWidth="1"/>
    <col min="12" max="12" width="5.6640625" style="2" bestFit="1" customWidth="1"/>
    <col min="13" max="13" width="1.109375" style="2" customWidth="1"/>
    <col min="14" max="14" width="90.6640625" style="3" customWidth="1"/>
    <col min="15" max="17" width="8.77734375" style="2"/>
    <col min="18" max="18" width="15.109375" style="2" customWidth="1"/>
    <col min="19" max="16384" width="8.77734375" style="2"/>
  </cols>
  <sheetData>
    <row r="1" spans="1:20" ht="16.95" customHeight="1" x14ac:dyDescent="0.25">
      <c r="A1" s="368"/>
      <c r="B1" s="469"/>
      <c r="C1" s="368"/>
      <c r="I1" s="1"/>
    </row>
    <row r="2" spans="1:20" ht="16.95" customHeight="1" thickBot="1" x14ac:dyDescent="0.3">
      <c r="G2" s="368"/>
      <c r="H2" s="369" t="s">
        <v>346</v>
      </c>
      <c r="I2" s="369" t="s">
        <v>347</v>
      </c>
    </row>
    <row r="3" spans="1:20" ht="16.95" customHeight="1" thickBot="1" x14ac:dyDescent="0.3">
      <c r="B3" s="13"/>
      <c r="C3" s="6" t="s">
        <v>0</v>
      </c>
      <c r="D3" s="123" t="s">
        <v>348</v>
      </c>
      <c r="E3" s="6"/>
      <c r="F3" s="6"/>
      <c r="G3" s="6" t="s">
        <v>341</v>
      </c>
      <c r="H3" s="54">
        <v>6500</v>
      </c>
      <c r="I3" s="55">
        <v>1</v>
      </c>
      <c r="J3" s="5"/>
      <c r="K3" s="475"/>
      <c r="L3" s="476"/>
      <c r="M3" s="5"/>
      <c r="N3" s="7" t="s">
        <v>254</v>
      </c>
      <c r="R3" s="1" t="s">
        <v>342</v>
      </c>
    </row>
    <row r="4" spans="1:20" ht="16.95" customHeight="1" x14ac:dyDescent="0.25">
      <c r="B4" s="13"/>
      <c r="C4" s="6"/>
      <c r="D4" s="371" t="s">
        <v>1</v>
      </c>
      <c r="E4" s="6"/>
      <c r="F4" s="6"/>
      <c r="G4" s="6" t="s">
        <v>343</v>
      </c>
      <c r="H4" s="54">
        <v>419</v>
      </c>
      <c r="I4" s="55">
        <v>0.5</v>
      </c>
      <c r="J4" s="5"/>
      <c r="K4" s="17"/>
      <c r="L4" s="53"/>
      <c r="M4" s="5"/>
      <c r="N4" s="10" t="s">
        <v>253</v>
      </c>
      <c r="R4" s="1"/>
    </row>
    <row r="5" spans="1:20" ht="16.95" customHeight="1" x14ac:dyDescent="0.25">
      <c r="B5" s="13"/>
      <c r="C5" s="6"/>
      <c r="D5" s="5"/>
      <c r="E5" s="6"/>
      <c r="F5" s="6"/>
      <c r="G5" s="6" t="s">
        <v>349</v>
      </c>
      <c r="H5" s="54">
        <v>0</v>
      </c>
      <c r="I5" s="55">
        <v>0</v>
      </c>
      <c r="J5" s="5"/>
      <c r="K5" s="17"/>
      <c r="L5" s="53"/>
      <c r="M5" s="5"/>
      <c r="N5" s="11" t="s">
        <v>255</v>
      </c>
      <c r="R5" s="1"/>
    </row>
    <row r="6" spans="1:20" ht="16.95" customHeight="1" x14ac:dyDescent="0.25">
      <c r="B6" s="125"/>
      <c r="C6" s="5"/>
      <c r="D6" s="5"/>
      <c r="E6" s="5"/>
      <c r="F6" s="8"/>
      <c r="G6" s="8"/>
      <c r="H6" s="5"/>
      <c r="I6" s="5"/>
      <c r="J6" s="5"/>
      <c r="K6" s="5"/>
      <c r="L6" s="9"/>
      <c r="M6" s="5"/>
    </row>
    <row r="7" spans="1:20" ht="16.95" customHeight="1" x14ac:dyDescent="0.25">
      <c r="C7" s="49"/>
      <c r="D7" s="49"/>
      <c r="E7" s="49"/>
      <c r="F7" s="479" t="s">
        <v>2</v>
      </c>
      <c r="G7" s="480"/>
      <c r="H7" s="480"/>
      <c r="I7" s="481"/>
      <c r="J7" s="5"/>
      <c r="K7" s="5"/>
      <c r="L7" s="9"/>
      <c r="M7" s="5"/>
      <c r="R7" s="52" t="s">
        <v>344</v>
      </c>
      <c r="S7" s="51">
        <v>419</v>
      </c>
      <c r="T7" s="1" t="s">
        <v>345</v>
      </c>
    </row>
    <row r="8" spans="1:20" ht="16.95" customHeight="1" x14ac:dyDescent="0.25">
      <c r="C8" s="33"/>
      <c r="D8" s="33"/>
      <c r="E8" s="33"/>
      <c r="F8" s="482" t="s">
        <v>340</v>
      </c>
      <c r="G8" s="483"/>
      <c r="H8" s="483"/>
      <c r="I8" s="484"/>
      <c r="J8" s="5"/>
      <c r="K8" s="5"/>
      <c r="L8" s="9"/>
      <c r="M8" s="5"/>
      <c r="N8" s="12"/>
      <c r="T8" s="1" t="s">
        <v>350</v>
      </c>
    </row>
    <row r="9" spans="1:20" ht="16.95" customHeight="1" x14ac:dyDescent="0.25">
      <c r="B9" s="13"/>
      <c r="C9" s="13"/>
      <c r="D9" s="13"/>
      <c r="E9" s="13"/>
      <c r="F9" s="13"/>
      <c r="G9" s="13"/>
      <c r="H9" s="13"/>
      <c r="I9" s="13"/>
      <c r="J9" s="5"/>
      <c r="K9" s="5"/>
      <c r="L9" s="9"/>
      <c r="M9" s="5"/>
      <c r="N9" s="12"/>
      <c r="T9" s="1" t="s">
        <v>351</v>
      </c>
    </row>
    <row r="10" spans="1:20" ht="16.95" customHeight="1" thickBot="1" x14ac:dyDescent="0.3">
      <c r="B10" s="125"/>
      <c r="C10" s="14"/>
      <c r="D10" s="305" t="s">
        <v>517</v>
      </c>
      <c r="E10" s="5"/>
      <c r="F10" s="47">
        <v>0</v>
      </c>
      <c r="G10" s="47">
        <v>100</v>
      </c>
      <c r="H10" s="48">
        <v>200</v>
      </c>
      <c r="I10" s="48">
        <v>300</v>
      </c>
      <c r="J10" s="5"/>
      <c r="K10" s="5"/>
      <c r="L10" s="9"/>
      <c r="M10" s="5"/>
      <c r="N10" s="15"/>
      <c r="T10" s="1" t="s">
        <v>352</v>
      </c>
    </row>
    <row r="11" spans="1:20" ht="16.95" customHeight="1" x14ac:dyDescent="0.25">
      <c r="B11" s="125"/>
      <c r="C11" s="14"/>
      <c r="D11" s="14"/>
      <c r="E11" s="5"/>
      <c r="F11" s="477" t="s">
        <v>336</v>
      </c>
      <c r="G11" s="477" t="s">
        <v>337</v>
      </c>
      <c r="H11" s="477" t="s">
        <v>338</v>
      </c>
      <c r="I11" s="477" t="s">
        <v>339</v>
      </c>
      <c r="J11" s="5"/>
      <c r="K11" s="5"/>
      <c r="L11" s="9"/>
      <c r="M11" s="5"/>
      <c r="N11" s="16"/>
      <c r="T11" s="1" t="s">
        <v>357</v>
      </c>
    </row>
    <row r="12" spans="1:20" ht="16.95" customHeight="1" thickBot="1" x14ac:dyDescent="0.3">
      <c r="B12" s="125"/>
      <c r="C12" s="5"/>
      <c r="D12" s="5"/>
      <c r="E12" s="17"/>
      <c r="F12" s="478" t="e">
        <f>SUM(#REF!)</f>
        <v>#REF!</v>
      </c>
      <c r="G12" s="478"/>
      <c r="H12" s="478"/>
      <c r="I12" s="478"/>
      <c r="J12" s="5"/>
      <c r="K12" s="18" t="s">
        <v>3</v>
      </c>
      <c r="L12" s="19"/>
      <c r="M12" s="5"/>
      <c r="N12" s="20" t="s">
        <v>4</v>
      </c>
    </row>
    <row r="13" spans="1:20" ht="16.95" customHeight="1" x14ac:dyDescent="0.25">
      <c r="B13" s="126"/>
      <c r="C13" s="21" t="s">
        <v>5</v>
      </c>
      <c r="D13" s="21"/>
      <c r="E13" s="5"/>
      <c r="F13" s="22"/>
      <c r="G13" s="22"/>
      <c r="H13" s="23"/>
      <c r="I13" s="23"/>
      <c r="J13" s="14"/>
      <c r="K13" s="14"/>
      <c r="L13" s="8"/>
      <c r="M13" s="14"/>
      <c r="N13" s="367" t="s">
        <v>399</v>
      </c>
      <c r="R13" s="52" t="s">
        <v>353</v>
      </c>
      <c r="T13" s="1" t="s">
        <v>354</v>
      </c>
    </row>
    <row r="14" spans="1:20" ht="16.95" customHeight="1" x14ac:dyDescent="0.25">
      <c r="B14" s="127">
        <v>1</v>
      </c>
      <c r="C14" s="24" t="s">
        <v>6</v>
      </c>
      <c r="D14" s="24"/>
      <c r="E14" s="5"/>
      <c r="F14" s="25">
        <f>F10*$H$3</f>
        <v>0</v>
      </c>
      <c r="G14" s="25">
        <f>'A3. Estimated Cash Flow Yr 1'!D11</f>
        <v>650000</v>
      </c>
      <c r="H14" s="25">
        <f>'A3. Estimated Cash Flow Yr 2'!D11</f>
        <v>1300000</v>
      </c>
      <c r="I14" s="306">
        <f>'A3. Estimated Cash Flow Yr 3'!D11</f>
        <v>1950000</v>
      </c>
      <c r="J14" s="14"/>
      <c r="K14" s="24">
        <f t="shared" ref="K14:K25" si="0">B14</f>
        <v>1</v>
      </c>
      <c r="L14" s="26"/>
      <c r="M14" s="24"/>
      <c r="N14" s="27" t="s">
        <v>261</v>
      </c>
      <c r="T14" s="1" t="s">
        <v>355</v>
      </c>
    </row>
    <row r="15" spans="1:20" ht="16.95" customHeight="1" x14ac:dyDescent="0.25">
      <c r="B15" s="127">
        <v>2</v>
      </c>
      <c r="C15" s="24" t="s">
        <v>7</v>
      </c>
      <c r="D15" s="24"/>
      <c r="E15" s="5"/>
      <c r="F15" s="25">
        <v>0</v>
      </c>
      <c r="G15" s="25">
        <v>0</v>
      </c>
      <c r="H15" s="25">
        <v>0</v>
      </c>
      <c r="I15" s="306">
        <v>0</v>
      </c>
      <c r="J15" s="14"/>
      <c r="K15" s="24">
        <f t="shared" si="0"/>
        <v>2</v>
      </c>
      <c r="L15" s="26"/>
      <c r="M15" s="24"/>
      <c r="N15" s="50" t="s">
        <v>525</v>
      </c>
    </row>
    <row r="16" spans="1:20" ht="16.95" customHeight="1" x14ac:dyDescent="0.25">
      <c r="B16" s="127">
        <v>3</v>
      </c>
      <c r="C16" s="24" t="s">
        <v>8</v>
      </c>
      <c r="D16" s="24"/>
      <c r="E16" s="5"/>
      <c r="F16" s="25">
        <v>0</v>
      </c>
      <c r="G16" s="25">
        <v>0</v>
      </c>
      <c r="H16" s="25">
        <v>0</v>
      </c>
      <c r="I16" s="306">
        <v>0</v>
      </c>
      <c r="J16" s="14"/>
      <c r="K16" s="24">
        <f t="shared" si="0"/>
        <v>3</v>
      </c>
      <c r="L16" s="26"/>
      <c r="M16" s="24"/>
      <c r="N16" s="50" t="s">
        <v>525</v>
      </c>
      <c r="R16" s="52" t="s">
        <v>356</v>
      </c>
    </row>
    <row r="17" spans="2:20" ht="16.95" customHeight="1" x14ac:dyDescent="0.25">
      <c r="B17" s="127">
        <v>4</v>
      </c>
      <c r="C17" s="24" t="s">
        <v>9</v>
      </c>
      <c r="D17" s="24"/>
      <c r="E17" s="5"/>
      <c r="F17" s="25">
        <v>0</v>
      </c>
      <c r="G17" s="25">
        <f>'A3. Estimated Cash Flow Yr 1'!L2*'A3. Estimated Cash Flow Yr 1'!K3*'A3. Estimated Cash Flow Yr 1'!J3</f>
        <v>20950</v>
      </c>
      <c r="H17" s="29">
        <f>'A3. Estimated Cash Flow Yr 2'!L2*'A3. Estimated Cash Flow Yr 2'!K3*'A3. Estimated Cash Flow Yr 2'!J3</f>
        <v>41900</v>
      </c>
      <c r="I17" s="322">
        <f>'A3. Estimated Cash Flow Yr 3'!L2*'A3. Estimated Cash Flow Yr 3'!K3*'A3. Estimated Cash Flow Yr 3'!J3</f>
        <v>62850</v>
      </c>
      <c r="J17" s="14"/>
      <c r="K17" s="24">
        <f t="shared" si="0"/>
        <v>4</v>
      </c>
      <c r="L17" s="26"/>
      <c r="M17" s="24"/>
      <c r="N17" s="50" t="s">
        <v>398</v>
      </c>
    </row>
    <row r="18" spans="2:20" ht="16.95" customHeight="1" x14ac:dyDescent="0.25">
      <c r="B18" s="127">
        <v>5</v>
      </c>
      <c r="C18" s="24" t="s">
        <v>10</v>
      </c>
      <c r="D18" s="24"/>
      <c r="E18" s="5"/>
      <c r="F18" s="25">
        <f>'A3. Estimated Cash Flow Yr 0'!D16</f>
        <v>300000</v>
      </c>
      <c r="G18" s="25">
        <f>'A3. Estimated Cash Flow Yr 1'!D16</f>
        <v>200000</v>
      </c>
      <c r="H18" s="29">
        <f>'A3. Estimated Cash Flow Yr 2'!D16</f>
        <v>100000</v>
      </c>
      <c r="I18" s="322">
        <v>0</v>
      </c>
      <c r="J18" s="14"/>
      <c r="K18" s="24">
        <f t="shared" si="0"/>
        <v>5</v>
      </c>
      <c r="L18" s="26"/>
      <c r="M18" s="24"/>
      <c r="N18" s="56" t="s">
        <v>396</v>
      </c>
    </row>
    <row r="19" spans="2:20" ht="16.95" customHeight="1" x14ac:dyDescent="0.25">
      <c r="B19" s="127">
        <v>6</v>
      </c>
      <c r="C19" s="24" t="s">
        <v>11</v>
      </c>
      <c r="D19" s="24"/>
      <c r="E19" s="5"/>
      <c r="F19" s="25">
        <v>0</v>
      </c>
      <c r="G19" s="25">
        <f>'A3. Estimated Cash Flow Yr 1'!P12-'A1. BudgetSumm'!G17</f>
        <v>20170.412500000006</v>
      </c>
      <c r="H19" s="25">
        <f>'A3. Estimated Cash Flow Yr 2'!P12-'A1. BudgetSumm'!H17</f>
        <v>40339.420000000013</v>
      </c>
      <c r="I19" s="25">
        <f>'A3. Estimated Cash Flow Yr 3'!P12-'A1. BudgetSumm'!I17</f>
        <v>60508.420000000013</v>
      </c>
      <c r="J19" s="14"/>
      <c r="K19" s="24">
        <f t="shared" si="0"/>
        <v>6</v>
      </c>
      <c r="L19" s="26"/>
      <c r="M19" s="24"/>
      <c r="N19" s="56" t="s">
        <v>574</v>
      </c>
      <c r="R19" s="1" t="s">
        <v>358</v>
      </c>
    </row>
    <row r="20" spans="2:20" ht="16.95" customHeight="1" x14ac:dyDescent="0.25">
      <c r="B20" s="127">
        <v>7</v>
      </c>
      <c r="C20" s="24" t="s">
        <v>12</v>
      </c>
      <c r="D20" s="24"/>
      <c r="E20" s="5"/>
      <c r="F20" s="25">
        <v>0</v>
      </c>
      <c r="G20" s="25">
        <v>0</v>
      </c>
      <c r="H20" s="25">
        <v>0</v>
      </c>
      <c r="I20" s="25">
        <v>0</v>
      </c>
      <c r="J20" s="14"/>
      <c r="K20" s="24">
        <f t="shared" si="0"/>
        <v>7</v>
      </c>
      <c r="L20" s="26"/>
      <c r="M20" s="24"/>
      <c r="N20" s="56" t="s">
        <v>525</v>
      </c>
    </row>
    <row r="21" spans="2:20" ht="16.95" customHeight="1" x14ac:dyDescent="0.25">
      <c r="B21" s="127">
        <v>8</v>
      </c>
      <c r="C21" s="24" t="s">
        <v>13</v>
      </c>
      <c r="D21" s="24"/>
      <c r="E21" s="5"/>
      <c r="F21" s="25">
        <v>0</v>
      </c>
      <c r="G21" s="25">
        <v>0</v>
      </c>
      <c r="H21" s="25">
        <v>0</v>
      </c>
      <c r="I21" s="25">
        <v>0</v>
      </c>
      <c r="J21" s="14"/>
      <c r="K21" s="24">
        <f t="shared" si="0"/>
        <v>8</v>
      </c>
      <c r="L21" s="26"/>
      <c r="M21" s="24"/>
      <c r="N21" s="56" t="s">
        <v>525</v>
      </c>
    </row>
    <row r="22" spans="2:20" ht="16.95" customHeight="1" x14ac:dyDescent="0.25">
      <c r="B22" s="127">
        <v>9</v>
      </c>
      <c r="C22" s="24" t="s">
        <v>15</v>
      </c>
      <c r="D22" s="24"/>
      <c r="E22" s="5"/>
      <c r="F22" s="25">
        <f>'A3. Estimated Cash Flow Yr 0'!D14</f>
        <v>100000</v>
      </c>
      <c r="G22" s="25">
        <f>'A3. Estimated Cash Flow Yr 1'!D14</f>
        <v>100000</v>
      </c>
      <c r="H22" s="25">
        <f>'A3. Estimated Cash Flow Yr 2'!D14</f>
        <v>100000</v>
      </c>
      <c r="I22" s="25">
        <f>'A3. Estimated Cash Flow Yr 3'!D14</f>
        <v>100000</v>
      </c>
      <c r="J22" s="14"/>
      <c r="K22" s="24">
        <f t="shared" si="0"/>
        <v>9</v>
      </c>
      <c r="L22" s="26"/>
      <c r="M22" s="24"/>
      <c r="N22" s="56" t="s">
        <v>586</v>
      </c>
    </row>
    <row r="23" spans="2:20" ht="16.95" customHeight="1" x14ac:dyDescent="0.25">
      <c r="B23" s="127">
        <v>10</v>
      </c>
      <c r="C23" s="24" t="s">
        <v>17</v>
      </c>
      <c r="D23" s="24"/>
      <c r="E23" s="5"/>
      <c r="F23" s="25">
        <v>0</v>
      </c>
      <c r="G23" s="25">
        <v>0</v>
      </c>
      <c r="H23" s="25">
        <v>0</v>
      </c>
      <c r="I23" s="25">
        <v>0</v>
      </c>
      <c r="J23" s="14"/>
      <c r="K23" s="24">
        <f t="shared" si="0"/>
        <v>10</v>
      </c>
      <c r="L23" s="26"/>
      <c r="M23" s="24"/>
      <c r="N23" s="50" t="s">
        <v>525</v>
      </c>
    </row>
    <row r="24" spans="2:20" ht="16.95" customHeight="1" x14ac:dyDescent="0.25">
      <c r="B24" s="127">
        <v>11</v>
      </c>
      <c r="C24" s="24" t="s">
        <v>18</v>
      </c>
      <c r="D24" s="24"/>
      <c r="E24" s="5"/>
      <c r="F24" s="25">
        <v>0</v>
      </c>
      <c r="G24" s="25">
        <v>0</v>
      </c>
      <c r="H24" s="25">
        <v>0</v>
      </c>
      <c r="I24" s="25">
        <v>0</v>
      </c>
      <c r="J24" s="14"/>
      <c r="K24" s="24">
        <f t="shared" si="0"/>
        <v>11</v>
      </c>
      <c r="L24" s="26"/>
      <c r="M24" s="24"/>
      <c r="N24" s="50" t="s">
        <v>575</v>
      </c>
      <c r="R24" s="52" t="s">
        <v>360</v>
      </c>
      <c r="T24" s="1" t="s">
        <v>359</v>
      </c>
    </row>
    <row r="25" spans="2:20" ht="16.95" customHeight="1" x14ac:dyDescent="0.25">
      <c r="B25" s="127">
        <v>14</v>
      </c>
      <c r="C25" s="30" t="s">
        <v>21</v>
      </c>
      <c r="D25" s="30"/>
      <c r="E25" s="5"/>
      <c r="F25" s="31">
        <f>SUM(F14:F24)</f>
        <v>400000</v>
      </c>
      <c r="G25" s="31">
        <f>SUM(G14:G24)</f>
        <v>991120.41249999998</v>
      </c>
      <c r="H25" s="31">
        <f>SUM(H14:H24)</f>
        <v>1582239.42</v>
      </c>
      <c r="I25" s="31">
        <f>SUM(I14:I24)</f>
        <v>2173358.42</v>
      </c>
      <c r="J25" s="14"/>
      <c r="K25" s="24">
        <f t="shared" si="0"/>
        <v>14</v>
      </c>
      <c r="L25" s="26"/>
      <c r="M25" s="24"/>
      <c r="N25" s="28" t="s">
        <v>22</v>
      </c>
    </row>
    <row r="26" spans="2:20" ht="16.95" customHeight="1" x14ac:dyDescent="0.25">
      <c r="B26" s="125"/>
      <c r="C26" s="471"/>
      <c r="D26" s="472"/>
      <c r="E26" s="5"/>
      <c r="F26" s="254"/>
      <c r="G26" s="254"/>
      <c r="H26" s="254"/>
      <c r="I26" s="5"/>
      <c r="J26" s="5"/>
      <c r="K26" s="5"/>
      <c r="L26" s="9"/>
      <c r="M26" s="5"/>
      <c r="N26" s="32"/>
    </row>
    <row r="27" spans="2:20" ht="16.95" customHeight="1" x14ac:dyDescent="0.25">
      <c r="B27" s="125"/>
      <c r="C27" s="33" t="s">
        <v>23</v>
      </c>
      <c r="D27" s="33"/>
      <c r="E27" s="5"/>
      <c r="F27" s="22"/>
      <c r="G27" s="22"/>
      <c r="H27" s="23"/>
      <c r="I27" s="23"/>
      <c r="J27" s="14"/>
      <c r="K27" s="5"/>
      <c r="L27" s="9"/>
      <c r="M27" s="14"/>
      <c r="N27" s="32"/>
    </row>
    <row r="28" spans="2:20" ht="16.95" customHeight="1" x14ac:dyDescent="0.25">
      <c r="B28" s="127">
        <v>15</v>
      </c>
      <c r="C28" s="34" t="s">
        <v>24</v>
      </c>
      <c r="D28" s="34"/>
      <c r="E28" s="5"/>
      <c r="F28" s="306">
        <f>+'A2. Bgt_FuncExp'!E8</f>
        <v>132700</v>
      </c>
      <c r="G28" s="306">
        <f>+'A2. Bgt_FuncExp'!G8</f>
        <v>226400</v>
      </c>
      <c r="H28" s="322">
        <f>+'A2. Bgt_FuncExp'!I8</f>
        <v>230550</v>
      </c>
      <c r="I28" s="322">
        <f>+'A2. Bgt_FuncExp'!K8</f>
        <v>233749.5</v>
      </c>
      <c r="J28" s="14"/>
      <c r="K28" s="24">
        <f t="shared" ref="K28:K35" si="1">B28</f>
        <v>15</v>
      </c>
      <c r="L28" s="26"/>
      <c r="M28" s="24"/>
      <c r="N28" s="28" t="s">
        <v>252</v>
      </c>
    </row>
    <row r="29" spans="2:20" ht="16.95" customHeight="1" x14ac:dyDescent="0.25">
      <c r="B29" s="127">
        <v>16</v>
      </c>
      <c r="C29" s="34" t="s">
        <v>26</v>
      </c>
      <c r="D29" s="34"/>
      <c r="E29" s="5"/>
      <c r="F29" s="306">
        <f>'A2. Bgt_FuncExp'!E41</f>
        <v>76900</v>
      </c>
      <c r="G29" s="306">
        <f>+'A2. Bgt_FuncExp'!G41</f>
        <v>451800</v>
      </c>
      <c r="H29" s="322">
        <f>+'A2. Bgt_FuncExp'!I41</f>
        <v>828750</v>
      </c>
      <c r="I29" s="322">
        <f>+'A2. Bgt_FuncExp'!K41</f>
        <v>1216528.5</v>
      </c>
      <c r="J29" s="14"/>
      <c r="K29" s="24">
        <f t="shared" si="1"/>
        <v>16</v>
      </c>
      <c r="L29" s="26"/>
      <c r="M29" s="24"/>
      <c r="N29" s="28" t="s">
        <v>252</v>
      </c>
    </row>
    <row r="30" spans="2:20" ht="16.95" customHeight="1" x14ac:dyDescent="0.25">
      <c r="B30" s="127">
        <v>17</v>
      </c>
      <c r="C30" s="34" t="s">
        <v>27</v>
      </c>
      <c r="D30" s="34"/>
      <c r="E30" s="5"/>
      <c r="F30" s="306">
        <f>'A2. Bgt_FuncExp'!E77</f>
        <v>0</v>
      </c>
      <c r="G30" s="306">
        <f>+'A2. Bgt_FuncExp'!G77</f>
        <v>90000</v>
      </c>
      <c r="H30" s="322">
        <f>+'A2. Bgt_FuncExp'!I77</f>
        <v>180000</v>
      </c>
      <c r="I30" s="322">
        <f>+'A2. Bgt_FuncExp'!K77</f>
        <v>270000</v>
      </c>
      <c r="J30" s="14"/>
      <c r="K30" s="24">
        <f t="shared" si="1"/>
        <v>17</v>
      </c>
      <c r="L30" s="26"/>
      <c r="M30" s="24"/>
      <c r="N30" s="28" t="s">
        <v>252</v>
      </c>
    </row>
    <row r="31" spans="2:20" ht="16.95" customHeight="1" x14ac:dyDescent="0.25">
      <c r="B31" s="127">
        <v>18</v>
      </c>
      <c r="C31" s="34" t="s">
        <v>28</v>
      </c>
      <c r="D31" s="34"/>
      <c r="E31" s="5"/>
      <c r="F31" s="306">
        <f>'A2. Bgt_FuncExp'!E86</f>
        <v>103000</v>
      </c>
      <c r="G31" s="306">
        <f>+'A2. Bgt_FuncExp'!G86</f>
        <v>99000</v>
      </c>
      <c r="H31" s="322">
        <f>+'A2. Bgt_FuncExp'!I86</f>
        <v>99000</v>
      </c>
      <c r="I31" s="322">
        <f>+'A2. Bgt_FuncExp'!K86</f>
        <v>99000</v>
      </c>
      <c r="J31" s="14"/>
      <c r="K31" s="24">
        <f t="shared" si="1"/>
        <v>18</v>
      </c>
      <c r="L31" s="26"/>
      <c r="M31" s="24"/>
      <c r="N31" s="28" t="s">
        <v>252</v>
      </c>
    </row>
    <row r="32" spans="2:20" ht="16.95" customHeight="1" x14ac:dyDescent="0.25">
      <c r="B32" s="127">
        <v>19</v>
      </c>
      <c r="C32" s="34" t="s">
        <v>29</v>
      </c>
      <c r="D32" s="34"/>
      <c r="E32" s="5"/>
      <c r="F32" s="306">
        <f>'A2. Bgt_FuncExp'!E99</f>
        <v>0</v>
      </c>
      <c r="G32" s="306">
        <f>+'A2. Bgt_FuncExp'!G99</f>
        <v>0</v>
      </c>
      <c r="H32" s="322">
        <f>+'A2. Bgt_FuncExp'!I99</f>
        <v>0</v>
      </c>
      <c r="I32" s="322">
        <f>+'A2. Bgt_FuncExp'!K99</f>
        <v>0</v>
      </c>
      <c r="J32" s="14"/>
      <c r="K32" s="24">
        <f t="shared" si="1"/>
        <v>19</v>
      </c>
      <c r="L32" s="26"/>
      <c r="M32" s="24"/>
      <c r="N32" s="28" t="s">
        <v>252</v>
      </c>
    </row>
    <row r="33" spans="2:14" ht="16.95" customHeight="1" x14ac:dyDescent="0.25">
      <c r="B33" s="127">
        <v>20</v>
      </c>
      <c r="C33" s="34" t="s">
        <v>30</v>
      </c>
      <c r="D33" s="34"/>
      <c r="E33" s="5"/>
      <c r="F33" s="306">
        <f>'A2. Bgt_FuncExp'!E106</f>
        <v>1000</v>
      </c>
      <c r="G33" s="306">
        <f>+'A2. Bgt_FuncExp'!G106</f>
        <v>1000</v>
      </c>
      <c r="H33" s="322">
        <f>+'A2. Bgt_FuncExp'!I106</f>
        <v>2000</v>
      </c>
      <c r="I33" s="322">
        <f>+'A2. Bgt_FuncExp'!K106</f>
        <v>3000</v>
      </c>
      <c r="J33" s="14"/>
      <c r="K33" s="24">
        <f t="shared" si="1"/>
        <v>20</v>
      </c>
      <c r="L33" s="26"/>
      <c r="M33" s="24"/>
      <c r="N33" s="28" t="s">
        <v>252</v>
      </c>
    </row>
    <row r="34" spans="2:14" ht="16.95" customHeight="1" x14ac:dyDescent="0.25">
      <c r="B34" s="127">
        <v>23</v>
      </c>
      <c r="C34" s="36" t="s">
        <v>31</v>
      </c>
      <c r="D34" s="36"/>
      <c r="E34" s="5"/>
      <c r="F34" s="306">
        <f>SUM(F28:F33)</f>
        <v>313600</v>
      </c>
      <c r="G34" s="306">
        <f t="shared" ref="G34:I34" si="2">SUM(G28:G33)</f>
        <v>868200</v>
      </c>
      <c r="H34" s="306">
        <f t="shared" si="2"/>
        <v>1340300</v>
      </c>
      <c r="I34" s="306">
        <f t="shared" si="2"/>
        <v>1822278</v>
      </c>
      <c r="J34" s="37"/>
      <c r="K34" s="24">
        <f t="shared" si="1"/>
        <v>23</v>
      </c>
      <c r="L34" s="26"/>
      <c r="M34" s="34"/>
      <c r="N34" s="28" t="s">
        <v>22</v>
      </c>
    </row>
    <row r="35" spans="2:14" ht="16.95" customHeight="1" x14ac:dyDescent="0.25">
      <c r="B35" s="127">
        <v>24</v>
      </c>
      <c r="C35" s="36" t="s">
        <v>32</v>
      </c>
      <c r="D35" s="36"/>
      <c r="E35" s="5"/>
      <c r="F35" s="35">
        <f>F25-F34</f>
        <v>86400</v>
      </c>
      <c r="G35" s="35">
        <f t="shared" ref="G35:I35" si="3">G25-G34</f>
        <v>122920.41249999998</v>
      </c>
      <c r="H35" s="35">
        <f t="shared" si="3"/>
        <v>241939.41999999993</v>
      </c>
      <c r="I35" s="35">
        <f t="shared" si="3"/>
        <v>351080.41999999993</v>
      </c>
      <c r="J35" s="14"/>
      <c r="K35" s="24">
        <f t="shared" si="1"/>
        <v>24</v>
      </c>
      <c r="L35" s="26"/>
      <c r="M35" s="24"/>
      <c r="N35" s="28" t="s">
        <v>22</v>
      </c>
    </row>
    <row r="36" spans="2:14" ht="16.95" customHeight="1" x14ac:dyDescent="0.25">
      <c r="B36" s="125"/>
      <c r="C36" s="33"/>
      <c r="D36" s="33"/>
      <c r="E36" s="5"/>
      <c r="F36" s="254"/>
      <c r="G36" s="254"/>
      <c r="H36" s="254"/>
      <c r="I36" s="5"/>
      <c r="J36" s="37"/>
      <c r="K36" s="5"/>
      <c r="L36" s="9"/>
      <c r="M36" s="37"/>
      <c r="N36" s="32"/>
    </row>
    <row r="37" spans="2:14" ht="16.95" customHeight="1" x14ac:dyDescent="0.25">
      <c r="B37" s="125"/>
      <c r="C37" s="33" t="s">
        <v>33</v>
      </c>
      <c r="D37" s="33"/>
      <c r="E37" s="5"/>
      <c r="F37" s="22"/>
      <c r="G37" s="22"/>
      <c r="H37" s="23"/>
      <c r="I37" s="23"/>
      <c r="J37" s="14"/>
      <c r="K37" s="5"/>
      <c r="L37" s="9"/>
      <c r="M37" s="14"/>
      <c r="N37" s="32"/>
    </row>
    <row r="38" spans="2:14" ht="16.95" customHeight="1" x14ac:dyDescent="0.25">
      <c r="B38" s="127">
        <v>25</v>
      </c>
      <c r="C38" s="24" t="s">
        <v>10</v>
      </c>
      <c r="D38" s="24"/>
      <c r="E38" s="5"/>
      <c r="F38" s="25">
        <v>0</v>
      </c>
      <c r="G38" s="25">
        <v>0</v>
      </c>
      <c r="H38" s="29">
        <v>0</v>
      </c>
      <c r="I38" s="29">
        <v>0</v>
      </c>
      <c r="J38" s="14"/>
      <c r="K38" s="24">
        <f t="shared" ref="K38:K44" si="4">B38</f>
        <v>25</v>
      </c>
      <c r="L38" s="26"/>
      <c r="M38" s="24"/>
      <c r="N38" s="56" t="s">
        <v>576</v>
      </c>
    </row>
    <row r="39" spans="2:14" ht="16.95" customHeight="1" x14ac:dyDescent="0.25">
      <c r="B39" s="127">
        <v>26</v>
      </c>
      <c r="C39" s="24" t="s">
        <v>14</v>
      </c>
      <c r="D39" s="24"/>
      <c r="E39" s="5"/>
      <c r="F39" s="25">
        <v>0</v>
      </c>
      <c r="G39" s="25">
        <v>0</v>
      </c>
      <c r="H39" s="29">
        <v>0</v>
      </c>
      <c r="I39" s="29">
        <v>0</v>
      </c>
      <c r="J39" s="14"/>
      <c r="K39" s="24">
        <f t="shared" si="4"/>
        <v>26</v>
      </c>
      <c r="L39" s="26"/>
      <c r="M39" s="24"/>
      <c r="N39" s="56" t="s">
        <v>577</v>
      </c>
    </row>
    <row r="40" spans="2:14" ht="16.95" customHeight="1" x14ac:dyDescent="0.25">
      <c r="B40" s="127">
        <v>27</v>
      </c>
      <c r="C40" s="24" t="s">
        <v>34</v>
      </c>
      <c r="D40" s="24"/>
      <c r="E40" s="5"/>
      <c r="F40" s="25">
        <v>0</v>
      </c>
      <c r="G40" s="25">
        <v>0</v>
      </c>
      <c r="H40" s="29">
        <v>0</v>
      </c>
      <c r="I40" s="29">
        <v>0</v>
      </c>
      <c r="J40" s="14"/>
      <c r="K40" s="24">
        <f t="shared" si="4"/>
        <v>27</v>
      </c>
      <c r="L40" s="26"/>
      <c r="M40" s="24"/>
      <c r="N40" s="56" t="s">
        <v>525</v>
      </c>
    </row>
    <row r="41" spans="2:14" ht="16.95" customHeight="1" x14ac:dyDescent="0.25">
      <c r="B41" s="127">
        <v>28</v>
      </c>
      <c r="C41" s="24" t="s">
        <v>35</v>
      </c>
      <c r="D41" s="24"/>
      <c r="E41" s="5"/>
      <c r="F41" s="25">
        <v>0</v>
      </c>
      <c r="G41" s="25">
        <v>0</v>
      </c>
      <c r="H41" s="29">
        <v>0</v>
      </c>
      <c r="I41" s="29">
        <v>0</v>
      </c>
      <c r="J41" s="14"/>
      <c r="K41" s="24">
        <f t="shared" si="4"/>
        <v>28</v>
      </c>
      <c r="L41" s="26"/>
      <c r="M41" s="24"/>
      <c r="N41" s="56" t="s">
        <v>578</v>
      </c>
    </row>
    <row r="42" spans="2:14" ht="16.95" customHeight="1" x14ac:dyDescent="0.25">
      <c r="B42" s="127">
        <v>29</v>
      </c>
      <c r="C42" s="24" t="s">
        <v>36</v>
      </c>
      <c r="D42" s="24"/>
      <c r="E42" s="5"/>
      <c r="F42" s="25">
        <v>0</v>
      </c>
      <c r="G42" s="25">
        <v>0</v>
      </c>
      <c r="H42" s="29">
        <v>0</v>
      </c>
      <c r="I42" s="29">
        <v>0</v>
      </c>
      <c r="J42" s="14"/>
      <c r="K42" s="24">
        <f t="shared" si="4"/>
        <v>29</v>
      </c>
      <c r="L42" s="26"/>
      <c r="M42" s="24"/>
      <c r="N42" s="50" t="s">
        <v>525</v>
      </c>
    </row>
    <row r="43" spans="2:14" ht="16.95" customHeight="1" x14ac:dyDescent="0.25">
      <c r="B43" s="127">
        <v>30</v>
      </c>
      <c r="C43" s="24" t="s">
        <v>37</v>
      </c>
      <c r="D43" s="24"/>
      <c r="E43" s="5"/>
      <c r="F43" s="25">
        <v>0</v>
      </c>
      <c r="G43" s="25">
        <v>0</v>
      </c>
      <c r="H43" s="29">
        <v>0</v>
      </c>
      <c r="I43" s="29">
        <v>0</v>
      </c>
      <c r="J43" s="14"/>
      <c r="K43" s="24">
        <f t="shared" si="4"/>
        <v>30</v>
      </c>
      <c r="L43" s="26"/>
      <c r="M43" s="24"/>
      <c r="N43" s="50" t="s">
        <v>525</v>
      </c>
    </row>
    <row r="44" spans="2:14" ht="16.95" customHeight="1" x14ac:dyDescent="0.25">
      <c r="B44" s="127">
        <v>33</v>
      </c>
      <c r="C44" s="36" t="s">
        <v>38</v>
      </c>
      <c r="D44" s="36"/>
      <c r="E44" s="5"/>
      <c r="F44" s="35">
        <f>SUM(F38:F43)</f>
        <v>0</v>
      </c>
      <c r="G44" s="35">
        <f>SUM(G38:G43)</f>
        <v>0</v>
      </c>
      <c r="H44" s="35">
        <f>SUM(H38:H43)</f>
        <v>0</v>
      </c>
      <c r="I44" s="35">
        <f>SUM(I38:I43)</f>
        <v>0</v>
      </c>
      <c r="J44" s="37"/>
      <c r="K44" s="24">
        <f t="shared" si="4"/>
        <v>33</v>
      </c>
      <c r="L44" s="26"/>
      <c r="M44" s="34"/>
      <c r="N44" s="28" t="s">
        <v>22</v>
      </c>
    </row>
    <row r="45" spans="2:14" ht="16.95" customHeight="1" x14ac:dyDescent="0.25">
      <c r="B45" s="125"/>
      <c r="C45" s="5"/>
      <c r="D45" s="5"/>
      <c r="E45" s="5"/>
      <c r="F45" s="9"/>
      <c r="G45" s="9"/>
      <c r="H45" s="5"/>
      <c r="I45" s="5"/>
      <c r="J45" s="5"/>
      <c r="K45" s="5"/>
      <c r="L45" s="9"/>
      <c r="M45" s="5"/>
      <c r="N45" s="32"/>
    </row>
    <row r="46" spans="2:14" ht="16.95" customHeight="1" x14ac:dyDescent="0.25">
      <c r="B46" s="128"/>
      <c r="C46" s="39" t="s">
        <v>39</v>
      </c>
      <c r="D46" s="39"/>
      <c r="E46" s="23"/>
      <c r="F46" s="22"/>
      <c r="G46" s="22"/>
      <c r="H46" s="23"/>
      <c r="I46" s="23"/>
      <c r="J46" s="38"/>
      <c r="K46" s="23"/>
      <c r="L46" s="22"/>
      <c r="M46" s="38"/>
      <c r="N46" s="40"/>
    </row>
    <row r="47" spans="2:14" ht="16.95" customHeight="1" x14ac:dyDescent="0.25">
      <c r="B47" s="129">
        <v>34</v>
      </c>
      <c r="C47" s="41" t="s">
        <v>40</v>
      </c>
      <c r="D47" s="41"/>
      <c r="E47" s="23"/>
      <c r="F47" s="35">
        <f>+'A2. Bgt_FuncExp'!E111</f>
        <v>0</v>
      </c>
      <c r="G47" s="35">
        <f>+'A2. Bgt_FuncExp'!G111</f>
        <v>0</v>
      </c>
      <c r="H47" s="42">
        <f>+'A2. Bgt_FuncExp'!I111</f>
        <v>0</v>
      </c>
      <c r="I47" s="42">
        <f>+'A2. Bgt_FuncExp'!K111</f>
        <v>0</v>
      </c>
      <c r="J47" s="38"/>
      <c r="K47" s="24">
        <f>B47</f>
        <v>34</v>
      </c>
      <c r="L47" s="26"/>
      <c r="M47" s="41"/>
      <c r="N47" s="28" t="s">
        <v>25</v>
      </c>
    </row>
    <row r="48" spans="2:14" ht="16.95" customHeight="1" x14ac:dyDescent="0.25">
      <c r="B48" s="129">
        <v>36</v>
      </c>
      <c r="C48" s="30" t="s">
        <v>41</v>
      </c>
      <c r="D48" s="30"/>
      <c r="E48" s="23"/>
      <c r="F48" s="35">
        <f>SUM(F47:F47)</f>
        <v>0</v>
      </c>
      <c r="G48" s="35">
        <f>SUM(G47:G47)</f>
        <v>0</v>
      </c>
      <c r="H48" s="35">
        <f>SUM(H47:H47)</f>
        <v>0</v>
      </c>
      <c r="I48" s="35">
        <f>SUM(I47:I47)</f>
        <v>0</v>
      </c>
      <c r="J48" s="44"/>
      <c r="K48" s="24">
        <f>B48</f>
        <v>36</v>
      </c>
      <c r="L48" s="26"/>
      <c r="M48" s="43"/>
      <c r="N48" s="27" t="s">
        <v>22</v>
      </c>
    </row>
    <row r="49" spans="2:14" ht="16.95" customHeight="1" x14ac:dyDescent="0.25">
      <c r="B49" s="129">
        <v>37</v>
      </c>
      <c r="C49" s="30" t="s">
        <v>42</v>
      </c>
      <c r="D49" s="30"/>
      <c r="E49" s="23"/>
      <c r="F49" s="35">
        <f>F44-F48</f>
        <v>0</v>
      </c>
      <c r="G49" s="35">
        <f>G44-G48</f>
        <v>0</v>
      </c>
      <c r="H49" s="35">
        <f>H44-H48</f>
        <v>0</v>
      </c>
      <c r="I49" s="35">
        <f>I44-I48</f>
        <v>0</v>
      </c>
      <c r="J49" s="38"/>
      <c r="K49" s="24">
        <f>B49</f>
        <v>37</v>
      </c>
      <c r="L49" s="26"/>
      <c r="M49" s="41"/>
      <c r="N49" s="27" t="s">
        <v>22</v>
      </c>
    </row>
    <row r="50" spans="2:14" ht="16.95" customHeight="1" x14ac:dyDescent="0.25">
      <c r="B50" s="128"/>
      <c r="C50" s="39"/>
      <c r="D50" s="39"/>
      <c r="E50" s="23"/>
      <c r="F50" s="22"/>
      <c r="G50" s="22"/>
      <c r="H50" s="23"/>
      <c r="I50" s="23"/>
      <c r="J50" s="38"/>
      <c r="K50" s="23"/>
      <c r="L50" s="22"/>
      <c r="M50" s="38"/>
      <c r="N50" s="40"/>
    </row>
    <row r="51" spans="2:14" ht="16.95" customHeight="1" x14ac:dyDescent="0.25">
      <c r="B51" s="128">
        <v>38</v>
      </c>
      <c r="C51" s="33" t="s">
        <v>43</v>
      </c>
      <c r="D51" s="33"/>
      <c r="E51" s="5"/>
      <c r="F51" s="35">
        <f>F35+F49</f>
        <v>86400</v>
      </c>
      <c r="G51" s="35">
        <f>G35+G49</f>
        <v>122920.41249999998</v>
      </c>
      <c r="H51" s="35">
        <f>H35+H49</f>
        <v>241939.41999999993</v>
      </c>
      <c r="I51" s="35">
        <f>I35+I49</f>
        <v>351080.41999999993</v>
      </c>
      <c r="J51" s="14"/>
      <c r="K51" s="24">
        <f>B51</f>
        <v>38</v>
      </c>
      <c r="L51" s="9"/>
      <c r="M51" s="14"/>
      <c r="N51" s="32" t="s">
        <v>22</v>
      </c>
    </row>
    <row r="52" spans="2:14" ht="16.95" customHeight="1" x14ac:dyDescent="0.25">
      <c r="B52" s="128">
        <v>39</v>
      </c>
      <c r="C52" s="33" t="s">
        <v>19</v>
      </c>
      <c r="D52" s="45"/>
      <c r="E52" s="5"/>
      <c r="F52" s="46">
        <v>0</v>
      </c>
      <c r="G52" s="25">
        <v>0</v>
      </c>
      <c r="H52" s="29">
        <v>0</v>
      </c>
      <c r="I52" s="29">
        <v>0</v>
      </c>
      <c r="J52" s="14"/>
      <c r="K52" s="24">
        <f>B52</f>
        <v>39</v>
      </c>
      <c r="L52" s="9"/>
      <c r="M52" s="14"/>
      <c r="N52" s="370" t="s">
        <v>579</v>
      </c>
    </row>
    <row r="53" spans="2:14" ht="16.95" customHeight="1" x14ac:dyDescent="0.25">
      <c r="B53" s="128">
        <v>40</v>
      </c>
      <c r="C53" s="4" t="s">
        <v>44</v>
      </c>
      <c r="D53" s="4"/>
      <c r="E53" s="5"/>
      <c r="F53" s="46">
        <v>0</v>
      </c>
      <c r="G53" s="25">
        <f>F54</f>
        <v>86400</v>
      </c>
      <c r="H53" s="25">
        <f>G54</f>
        <v>209320.41249999998</v>
      </c>
      <c r="I53" s="25">
        <f>H54</f>
        <v>451259.8324999999</v>
      </c>
      <c r="J53" s="14"/>
      <c r="K53" s="24">
        <f>B53</f>
        <v>40</v>
      </c>
      <c r="L53" s="9"/>
      <c r="M53" s="14"/>
      <c r="N53" s="32" t="s">
        <v>260</v>
      </c>
    </row>
    <row r="54" spans="2:14" ht="16.95" customHeight="1" x14ac:dyDescent="0.25">
      <c r="B54" s="128">
        <v>41</v>
      </c>
      <c r="C54" s="33" t="s">
        <v>45</v>
      </c>
      <c r="D54" s="33"/>
      <c r="E54" s="5"/>
      <c r="F54" s="35">
        <f>SUM(F51:F53)</f>
        <v>86400</v>
      </c>
      <c r="G54" s="35">
        <f t="shared" ref="G54:I54" si="5">SUM(G51:G53)</f>
        <v>209320.41249999998</v>
      </c>
      <c r="H54" s="35">
        <f t="shared" si="5"/>
        <v>451259.8324999999</v>
      </c>
      <c r="I54" s="35">
        <f t="shared" si="5"/>
        <v>802340.25249999983</v>
      </c>
      <c r="J54" s="14"/>
      <c r="K54" s="24">
        <f>B54</f>
        <v>41</v>
      </c>
      <c r="L54" s="9"/>
      <c r="M54" s="14"/>
      <c r="N54" s="32" t="s">
        <v>46</v>
      </c>
    </row>
    <row r="55" spans="2:14" ht="16.95" customHeight="1" x14ac:dyDescent="0.25">
      <c r="F55" s="1"/>
      <c r="G55" s="1"/>
      <c r="H55" s="1"/>
      <c r="I55" s="1"/>
    </row>
    <row r="56" spans="2:14" ht="16.95" customHeight="1" x14ac:dyDescent="0.25">
      <c r="C56" s="473"/>
      <c r="D56" s="474"/>
    </row>
  </sheetData>
  <mergeCells count="9">
    <mergeCell ref="C26:D26"/>
    <mergeCell ref="C56:D56"/>
    <mergeCell ref="K3:L3"/>
    <mergeCell ref="F11:F12"/>
    <mergeCell ref="G11:G12"/>
    <mergeCell ref="H11:H12"/>
    <mergeCell ref="I11:I12"/>
    <mergeCell ref="F7:I7"/>
    <mergeCell ref="F8:I8"/>
  </mergeCells>
  <phoneticPr fontId="10" type="noConversion"/>
  <conditionalFormatting sqref="F54">
    <cfRule type="cellIs" dxfId="7" priority="2" stopIfTrue="1" operator="notEqual">
      <formula>$F$55</formula>
    </cfRule>
  </conditionalFormatting>
  <conditionalFormatting sqref="G54:I54">
    <cfRule type="cellIs" dxfId="6" priority="1" stopIfTrue="1" operator="notEqual">
      <formula>$F$55</formula>
    </cfRule>
  </conditionalFormatting>
  <pageMargins left="0.75" right="0.75" top="0.49" bottom="0.47" header="0.25" footer="0.32"/>
  <pageSetup paperSize="17" orientation="portrait" r:id="rId1"/>
  <headerFooter alignWithMargins="0">
    <oddHeader>&amp;R&amp;"Arial,Bold"Page &amp;P</oddHeader>
  </headerFooter>
  <rowBreaks count="1" manualBreakCount="1">
    <brk id="53" min="1" max="8" man="1"/>
  </rowBreaks>
  <colBreaks count="1" manualBreakCount="1">
    <brk id="13" max="56" man="1"/>
  </colBreaks>
  <ignoredErrors>
    <ignoredError sqref="F14:G14 F22:I22 F18 H14 G53 G18:H18 G17:I17 G19:I19 H53:I53 H47:I47" unlockedFormula="1"/>
    <ignoredError sqref="F25:I25" emptyCellReference="1"/>
  </ignoredErrors>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O104"/>
  <sheetViews>
    <sheetView zoomScale="60" zoomScaleNormal="60" workbookViewId="0">
      <pane xSplit="3" ySplit="7" topLeftCell="D99" activePane="bottomRight" state="frozen"/>
      <selection pane="topRight" activeCell="C1" sqref="C1"/>
      <selection pane="bottomLeft" activeCell="A5" sqref="A5"/>
      <selection pane="bottomRight" sqref="A1:L104"/>
    </sheetView>
  </sheetViews>
  <sheetFormatPr defaultColWidth="10.77734375" defaultRowHeight="15" customHeight="1" x14ac:dyDescent="0.25"/>
  <cols>
    <col min="1" max="1" width="3.33203125" style="260" customWidth="1"/>
    <col min="2" max="2" width="8.44140625" style="263" bestFit="1" customWidth="1"/>
    <col min="3" max="3" width="27.77734375" style="260" bestFit="1" customWidth="1"/>
    <col min="4" max="4" width="3.33203125" style="260" customWidth="1"/>
    <col min="5" max="5" width="13.77734375" style="260" hidden="1" customWidth="1"/>
    <col min="6" max="8" width="13.77734375" style="260" customWidth="1"/>
    <col min="9" max="11" width="13.77734375" style="445" customWidth="1"/>
    <col min="12" max="12" width="15.33203125" style="445" bestFit="1" customWidth="1"/>
    <col min="13" max="13" width="14.109375" style="260" customWidth="1"/>
    <col min="14" max="14" width="15.77734375" style="260" bestFit="1" customWidth="1"/>
    <col min="15" max="15" width="17" style="260" bestFit="1" customWidth="1"/>
    <col min="16" max="16384" width="10.77734375" style="260"/>
  </cols>
  <sheetData>
    <row r="1" spans="2:15" ht="15" customHeight="1" thickBot="1" x14ac:dyDescent="0.3">
      <c r="I1" s="466"/>
      <c r="J1" s="466"/>
      <c r="K1" s="466"/>
    </row>
    <row r="2" spans="2:15" ht="15" customHeight="1" thickBot="1" x14ac:dyDescent="0.3">
      <c r="B2" s="497" t="s">
        <v>400</v>
      </c>
      <c r="C2" s="498"/>
      <c r="I2" s="466"/>
      <c r="J2" s="466"/>
      <c r="K2" s="466"/>
    </row>
    <row r="3" spans="2:15" ht="15" customHeight="1" thickBot="1" x14ac:dyDescent="0.3">
      <c r="B3" s="495" t="s">
        <v>403</v>
      </c>
      <c r="C3" s="496"/>
      <c r="I3" s="466"/>
      <c r="J3" s="466"/>
      <c r="K3" s="466"/>
    </row>
    <row r="4" spans="2:15" ht="15" customHeight="1" x14ac:dyDescent="0.25">
      <c r="I4" s="260"/>
      <c r="J4" s="260"/>
      <c r="K4" s="260"/>
      <c r="L4" s="260"/>
    </row>
    <row r="5" spans="2:15" ht="15" customHeight="1" x14ac:dyDescent="0.25">
      <c r="C5" s="315" t="s">
        <v>526</v>
      </c>
      <c r="E5" s="265" t="s">
        <v>405</v>
      </c>
      <c r="F5" s="265" t="s">
        <v>406</v>
      </c>
      <c r="G5" s="265" t="s">
        <v>407</v>
      </c>
      <c r="H5" s="265" t="s">
        <v>408</v>
      </c>
      <c r="I5" s="446" t="s">
        <v>409</v>
      </c>
      <c r="J5" s="446" t="s">
        <v>410</v>
      </c>
      <c r="K5" s="446" t="s">
        <v>411</v>
      </c>
      <c r="L5" s="446" t="s">
        <v>694</v>
      </c>
      <c r="N5" s="314" t="s">
        <v>401</v>
      </c>
      <c r="O5" s="314" t="s">
        <v>402</v>
      </c>
    </row>
    <row r="6" spans="2:15" ht="15" customHeight="1" x14ac:dyDescent="0.25">
      <c r="C6" s="315" t="s">
        <v>527</v>
      </c>
      <c r="D6" s="264"/>
      <c r="E6" s="313" t="s">
        <v>525</v>
      </c>
      <c r="F6" s="311" t="s">
        <v>518</v>
      </c>
      <c r="G6" s="311" t="s">
        <v>519</v>
      </c>
      <c r="H6" s="311" t="s">
        <v>520</v>
      </c>
      <c r="I6" s="447" t="s">
        <v>521</v>
      </c>
      <c r="J6" s="447" t="s">
        <v>522</v>
      </c>
      <c r="K6" s="447" t="s">
        <v>523</v>
      </c>
      <c r="L6" s="447" t="s">
        <v>524</v>
      </c>
      <c r="N6" s="309">
        <v>0.03</v>
      </c>
      <c r="O6" s="310" t="s">
        <v>707</v>
      </c>
    </row>
    <row r="7" spans="2:15" ht="15" customHeight="1" x14ac:dyDescent="0.25">
      <c r="B7" s="263" t="s">
        <v>51</v>
      </c>
      <c r="C7" s="315" t="s">
        <v>528</v>
      </c>
      <c r="E7" s="311" t="s">
        <v>412</v>
      </c>
      <c r="F7" s="311" t="s">
        <v>224</v>
      </c>
      <c r="G7" s="311" t="s">
        <v>259</v>
      </c>
      <c r="H7" s="311" t="s">
        <v>258</v>
      </c>
      <c r="I7" s="447" t="s">
        <v>413</v>
      </c>
      <c r="J7" s="447" t="s">
        <v>414</v>
      </c>
      <c r="K7" s="447" t="s">
        <v>415</v>
      </c>
      <c r="L7" s="447" t="s">
        <v>416</v>
      </c>
      <c r="N7" s="407" t="s">
        <v>663</v>
      </c>
      <c r="O7" s="315" t="s">
        <v>708</v>
      </c>
    </row>
    <row r="8" spans="2:15" ht="15" customHeight="1" x14ac:dyDescent="0.25">
      <c r="F8" s="315"/>
      <c r="G8" s="315"/>
      <c r="H8" s="315"/>
    </row>
    <row r="9" spans="2:15" s="266" customFormat="1" ht="15" customHeight="1" x14ac:dyDescent="0.25">
      <c r="B9" s="263">
        <v>1</v>
      </c>
      <c r="C9" s="442" t="s">
        <v>417</v>
      </c>
      <c r="E9" s="266">
        <v>80000</v>
      </c>
      <c r="F9" s="267">
        <v>80000</v>
      </c>
      <c r="G9" s="267">
        <v>80000</v>
      </c>
      <c r="H9" s="267">
        <v>80000</v>
      </c>
      <c r="I9" s="445">
        <v>80000</v>
      </c>
      <c r="J9" s="445">
        <v>80000</v>
      </c>
      <c r="K9" s="445">
        <v>80000</v>
      </c>
      <c r="L9" s="445">
        <v>80000</v>
      </c>
      <c r="M9" s="268"/>
      <c r="N9" s="260"/>
    </row>
    <row r="10" spans="2:15" ht="15" customHeight="1" x14ac:dyDescent="0.25">
      <c r="C10" s="262"/>
      <c r="D10" s="262"/>
      <c r="M10" s="258"/>
    </row>
    <row r="11" spans="2:15" ht="15" customHeight="1" x14ac:dyDescent="0.25">
      <c r="B11" s="263">
        <v>1</v>
      </c>
      <c r="C11" s="444" t="s">
        <v>418</v>
      </c>
      <c r="D11" s="262"/>
      <c r="E11" s="260">
        <v>0</v>
      </c>
      <c r="F11" s="260">
        <v>60000</v>
      </c>
      <c r="G11" s="260">
        <f t="shared" ref="G11:L13" si="0">F11+(F11*$N$6)</f>
        <v>61800</v>
      </c>
      <c r="H11" s="260">
        <f t="shared" si="0"/>
        <v>63654</v>
      </c>
      <c r="I11" s="445">
        <f t="shared" si="0"/>
        <v>65563.62</v>
      </c>
      <c r="J11" s="445">
        <f t="shared" si="0"/>
        <v>67530.528599999991</v>
      </c>
      <c r="K11" s="445">
        <f t="shared" si="0"/>
        <v>69556.444457999984</v>
      </c>
      <c r="L11" s="445">
        <f t="shared" si="0"/>
        <v>71643.13779173998</v>
      </c>
      <c r="M11" s="258"/>
    </row>
    <row r="12" spans="2:15" ht="15" customHeight="1" x14ac:dyDescent="0.25">
      <c r="B12" s="263">
        <v>1</v>
      </c>
      <c r="C12" s="444" t="s">
        <v>419</v>
      </c>
      <c r="D12" s="262"/>
      <c r="E12" s="260">
        <v>0</v>
      </c>
      <c r="F12" s="260">
        <v>55000</v>
      </c>
      <c r="G12" s="260">
        <f t="shared" si="0"/>
        <v>56650</v>
      </c>
      <c r="H12" s="260">
        <f t="shared" si="0"/>
        <v>58349.5</v>
      </c>
      <c r="I12" s="445">
        <f t="shared" si="0"/>
        <v>60099.985000000001</v>
      </c>
      <c r="J12" s="445">
        <f t="shared" si="0"/>
        <v>61902.984550000001</v>
      </c>
      <c r="K12" s="445">
        <f t="shared" si="0"/>
        <v>63760.074086500004</v>
      </c>
      <c r="L12" s="445">
        <f t="shared" si="0"/>
        <v>65672.876309095009</v>
      </c>
      <c r="M12" s="258"/>
    </row>
    <row r="13" spans="2:15" ht="15" customHeight="1" x14ac:dyDescent="0.25">
      <c r="B13" s="263">
        <v>1</v>
      </c>
      <c r="C13" s="443" t="s">
        <v>474</v>
      </c>
      <c r="E13" s="260">
        <v>0</v>
      </c>
      <c r="F13" s="260">
        <v>55000</v>
      </c>
      <c r="G13" s="260">
        <f t="shared" si="0"/>
        <v>56650</v>
      </c>
      <c r="H13" s="260">
        <f t="shared" si="0"/>
        <v>58349.5</v>
      </c>
      <c r="I13" s="445">
        <f t="shared" si="0"/>
        <v>60099.985000000001</v>
      </c>
      <c r="J13" s="445">
        <f t="shared" si="0"/>
        <v>61902.984550000001</v>
      </c>
      <c r="K13" s="445">
        <f t="shared" si="0"/>
        <v>63760.074086500004</v>
      </c>
      <c r="L13" s="445">
        <f t="shared" si="0"/>
        <v>65672.876309095009</v>
      </c>
      <c r="M13" s="258"/>
    </row>
    <row r="14" spans="2:15" ht="15" customHeight="1" x14ac:dyDescent="0.25">
      <c r="B14" s="269">
        <v>4</v>
      </c>
      <c r="C14" s="259" t="s">
        <v>420</v>
      </c>
      <c r="E14" s="259">
        <f t="shared" ref="E14:L14" si="1">SUM(E11:E13)</f>
        <v>0</v>
      </c>
      <c r="F14" s="259">
        <f t="shared" si="1"/>
        <v>170000</v>
      </c>
      <c r="G14" s="259">
        <f t="shared" si="1"/>
        <v>175100</v>
      </c>
      <c r="H14" s="259">
        <f t="shared" si="1"/>
        <v>180353</v>
      </c>
      <c r="I14" s="448">
        <f t="shared" si="1"/>
        <v>185763.59</v>
      </c>
      <c r="J14" s="448">
        <f t="shared" si="1"/>
        <v>191336.49769999998</v>
      </c>
      <c r="K14" s="448">
        <f t="shared" si="1"/>
        <v>197076.59263100001</v>
      </c>
      <c r="L14" s="448">
        <f t="shared" si="1"/>
        <v>202988.89040993</v>
      </c>
      <c r="M14" s="258"/>
    </row>
    <row r="15" spans="2:15" ht="15" customHeight="1" x14ac:dyDescent="0.25">
      <c r="M15" s="258"/>
    </row>
    <row r="16" spans="2:15" ht="15" customHeight="1" x14ac:dyDescent="0.25">
      <c r="B16" s="263">
        <v>1</v>
      </c>
      <c r="C16" s="443" t="s">
        <v>693</v>
      </c>
      <c r="E16" s="260">
        <v>0</v>
      </c>
      <c r="F16" s="260">
        <v>0</v>
      </c>
      <c r="G16" s="260">
        <v>0</v>
      </c>
      <c r="H16" s="260">
        <v>0</v>
      </c>
      <c r="I16" s="445">
        <v>65000</v>
      </c>
      <c r="J16" s="445">
        <f t="shared" ref="J16:L17" si="2">I16+(I16*$N$6)</f>
        <v>66950</v>
      </c>
      <c r="K16" s="445">
        <f t="shared" si="2"/>
        <v>68958.5</v>
      </c>
      <c r="L16" s="445">
        <f t="shared" si="2"/>
        <v>71027.255000000005</v>
      </c>
      <c r="M16" s="258"/>
    </row>
    <row r="17" spans="2:13" ht="15" customHeight="1" x14ac:dyDescent="0.25">
      <c r="B17" s="263">
        <v>1</v>
      </c>
      <c r="C17" s="452" t="s">
        <v>421</v>
      </c>
      <c r="E17" s="260">
        <v>0</v>
      </c>
      <c r="F17" s="260">
        <v>0</v>
      </c>
      <c r="G17" s="260">
        <v>0</v>
      </c>
      <c r="H17" s="260">
        <v>0</v>
      </c>
      <c r="I17" s="445">
        <v>55000</v>
      </c>
      <c r="J17" s="445">
        <f t="shared" si="2"/>
        <v>56650</v>
      </c>
      <c r="K17" s="445">
        <f t="shared" si="2"/>
        <v>58349.5</v>
      </c>
      <c r="L17" s="445">
        <f t="shared" si="2"/>
        <v>60099.985000000001</v>
      </c>
      <c r="M17" s="258"/>
    </row>
    <row r="19" spans="2:13" ht="15" customHeight="1" x14ac:dyDescent="0.25">
      <c r="B19" s="263">
        <v>1</v>
      </c>
      <c r="C19" s="452" t="s">
        <v>422</v>
      </c>
      <c r="E19" s="260">
        <v>0</v>
      </c>
      <c r="F19" s="260">
        <v>50000</v>
      </c>
      <c r="G19" s="260">
        <f t="shared" ref="G19:L23" si="3">F19+(F19*$N$6)</f>
        <v>51500</v>
      </c>
      <c r="H19" s="260">
        <f t="shared" si="3"/>
        <v>53045</v>
      </c>
      <c r="I19" s="445">
        <f t="shared" si="3"/>
        <v>54636.35</v>
      </c>
      <c r="J19" s="445">
        <f t="shared" si="3"/>
        <v>56275.440499999997</v>
      </c>
      <c r="K19" s="445">
        <f t="shared" si="3"/>
        <v>57963.703714999996</v>
      </c>
      <c r="L19" s="445">
        <f t="shared" si="3"/>
        <v>59702.614826449993</v>
      </c>
    </row>
    <row r="20" spans="2:13" ht="15" customHeight="1" x14ac:dyDescent="0.25">
      <c r="B20" s="263">
        <v>1</v>
      </c>
      <c r="C20" s="452" t="s">
        <v>423</v>
      </c>
      <c r="E20" s="260">
        <v>0</v>
      </c>
      <c r="F20" s="260">
        <v>50000</v>
      </c>
      <c r="G20" s="260">
        <f t="shared" si="3"/>
        <v>51500</v>
      </c>
      <c r="H20" s="260">
        <f t="shared" si="3"/>
        <v>53045</v>
      </c>
      <c r="I20" s="445">
        <f t="shared" si="3"/>
        <v>54636.35</v>
      </c>
      <c r="J20" s="445">
        <f t="shared" si="3"/>
        <v>56275.440499999997</v>
      </c>
      <c r="K20" s="445">
        <f t="shared" si="3"/>
        <v>57963.703714999996</v>
      </c>
      <c r="L20" s="445">
        <f t="shared" si="3"/>
        <v>59702.614826449993</v>
      </c>
    </row>
    <row r="21" spans="2:13" ht="15" customHeight="1" x14ac:dyDescent="0.25">
      <c r="B21" s="263">
        <v>1</v>
      </c>
      <c r="C21" s="452" t="s">
        <v>424</v>
      </c>
      <c r="E21" s="260">
        <v>0</v>
      </c>
      <c r="F21" s="260">
        <v>50000</v>
      </c>
      <c r="G21" s="260">
        <f t="shared" si="3"/>
        <v>51500</v>
      </c>
      <c r="H21" s="260">
        <f t="shared" si="3"/>
        <v>53045</v>
      </c>
      <c r="I21" s="445">
        <f t="shared" si="3"/>
        <v>54636.35</v>
      </c>
      <c r="J21" s="445">
        <f t="shared" si="3"/>
        <v>56275.440499999997</v>
      </c>
      <c r="K21" s="445">
        <f t="shared" si="3"/>
        <v>57963.703714999996</v>
      </c>
      <c r="L21" s="445">
        <f t="shared" si="3"/>
        <v>59702.614826449993</v>
      </c>
    </row>
    <row r="22" spans="2:13" ht="15" customHeight="1" x14ac:dyDescent="0.25">
      <c r="B22" s="263">
        <v>1</v>
      </c>
      <c r="C22" s="452" t="s">
        <v>425</v>
      </c>
      <c r="E22" s="260">
        <v>0</v>
      </c>
      <c r="F22" s="260">
        <v>50000</v>
      </c>
      <c r="G22" s="260">
        <f t="shared" si="3"/>
        <v>51500</v>
      </c>
      <c r="H22" s="260">
        <f t="shared" si="3"/>
        <v>53045</v>
      </c>
      <c r="I22" s="445">
        <f t="shared" si="3"/>
        <v>54636.35</v>
      </c>
      <c r="J22" s="445">
        <f t="shared" si="3"/>
        <v>56275.440499999997</v>
      </c>
      <c r="K22" s="445">
        <f t="shared" si="3"/>
        <v>57963.703714999996</v>
      </c>
      <c r="L22" s="445">
        <f t="shared" si="3"/>
        <v>59702.614826449993</v>
      </c>
    </row>
    <row r="23" spans="2:13" ht="15" customHeight="1" x14ac:dyDescent="0.25">
      <c r="B23" s="263">
        <v>1</v>
      </c>
      <c r="C23" s="452" t="s">
        <v>426</v>
      </c>
      <c r="E23" s="260">
        <v>0</v>
      </c>
      <c r="F23" s="260">
        <v>50000</v>
      </c>
      <c r="G23" s="260">
        <f t="shared" si="3"/>
        <v>51500</v>
      </c>
      <c r="H23" s="260">
        <f t="shared" si="3"/>
        <v>53045</v>
      </c>
      <c r="I23" s="445">
        <f t="shared" si="3"/>
        <v>54636.35</v>
      </c>
      <c r="J23" s="445">
        <f t="shared" si="3"/>
        <v>56275.440499999997</v>
      </c>
      <c r="K23" s="445">
        <f t="shared" si="3"/>
        <v>57963.703714999996</v>
      </c>
      <c r="L23" s="445">
        <f t="shared" si="3"/>
        <v>59702.614826449993</v>
      </c>
    </row>
    <row r="24" spans="2:13" ht="15" customHeight="1" x14ac:dyDescent="0.25">
      <c r="B24" s="269">
        <f>SUM(B19:B23)</f>
        <v>5</v>
      </c>
      <c r="C24" s="259" t="s">
        <v>427</v>
      </c>
      <c r="D24" s="259"/>
      <c r="E24" s="259">
        <f t="shared" ref="E24:L24" si="4">SUM(E19:E23)</f>
        <v>0</v>
      </c>
      <c r="F24" s="259">
        <f t="shared" si="4"/>
        <v>250000</v>
      </c>
      <c r="G24" s="259">
        <f t="shared" si="4"/>
        <v>257500</v>
      </c>
      <c r="H24" s="259">
        <f t="shared" si="4"/>
        <v>265225</v>
      </c>
      <c r="I24" s="448">
        <f t="shared" si="4"/>
        <v>273181.75</v>
      </c>
      <c r="J24" s="448">
        <f t="shared" si="4"/>
        <v>281377.20250000001</v>
      </c>
      <c r="K24" s="448">
        <f t="shared" si="4"/>
        <v>289818.51857499999</v>
      </c>
      <c r="L24" s="448">
        <f t="shared" si="4"/>
        <v>298513.07413224998</v>
      </c>
    </row>
    <row r="26" spans="2:13" ht="15" customHeight="1" x14ac:dyDescent="0.25">
      <c r="B26" s="263">
        <v>1</v>
      </c>
      <c r="C26" s="452" t="s">
        <v>428</v>
      </c>
      <c r="E26" s="260">
        <v>0</v>
      </c>
      <c r="F26" s="260">
        <v>0</v>
      </c>
      <c r="G26" s="260">
        <v>50000</v>
      </c>
      <c r="H26" s="260">
        <f t="shared" ref="H26:L32" si="5">G26+(G26*$N$6)</f>
        <v>51500</v>
      </c>
      <c r="I26" s="445">
        <f t="shared" si="5"/>
        <v>53045</v>
      </c>
      <c r="J26" s="445">
        <f t="shared" si="5"/>
        <v>54636.35</v>
      </c>
      <c r="K26" s="445">
        <f t="shared" si="5"/>
        <v>56275.440499999997</v>
      </c>
      <c r="L26" s="445">
        <f t="shared" si="5"/>
        <v>57963.703714999996</v>
      </c>
    </row>
    <row r="27" spans="2:13" ht="15" customHeight="1" x14ac:dyDescent="0.25">
      <c r="B27" s="263">
        <v>1</v>
      </c>
      <c r="C27" s="452" t="s">
        <v>429</v>
      </c>
      <c r="E27" s="260">
        <v>0</v>
      </c>
      <c r="F27" s="260">
        <v>0</v>
      </c>
      <c r="G27" s="260">
        <v>50000</v>
      </c>
      <c r="H27" s="260">
        <f t="shared" si="5"/>
        <v>51500</v>
      </c>
      <c r="I27" s="445">
        <f t="shared" si="5"/>
        <v>53045</v>
      </c>
      <c r="J27" s="445">
        <f t="shared" si="5"/>
        <v>54636.35</v>
      </c>
      <c r="K27" s="445">
        <f t="shared" si="5"/>
        <v>56275.440499999997</v>
      </c>
      <c r="L27" s="445">
        <f t="shared" si="5"/>
        <v>57963.703714999996</v>
      </c>
    </row>
    <row r="28" spans="2:13" ht="15" customHeight="1" x14ac:dyDescent="0.25">
      <c r="B28" s="263">
        <v>1</v>
      </c>
      <c r="C28" s="452" t="s">
        <v>430</v>
      </c>
      <c r="E28" s="260">
        <v>0</v>
      </c>
      <c r="F28" s="260">
        <v>0</v>
      </c>
      <c r="G28" s="260">
        <v>50000</v>
      </c>
      <c r="H28" s="260">
        <f t="shared" si="5"/>
        <v>51500</v>
      </c>
      <c r="I28" s="445">
        <f t="shared" si="5"/>
        <v>53045</v>
      </c>
      <c r="J28" s="445">
        <f t="shared" si="5"/>
        <v>54636.35</v>
      </c>
      <c r="K28" s="445">
        <f t="shared" si="5"/>
        <v>56275.440499999997</v>
      </c>
      <c r="L28" s="445">
        <f t="shared" si="5"/>
        <v>57963.703714999996</v>
      </c>
    </row>
    <row r="29" spans="2:13" ht="15" customHeight="1" x14ac:dyDescent="0.25">
      <c r="B29" s="263">
        <v>1</v>
      </c>
      <c r="C29" s="452" t="s">
        <v>431</v>
      </c>
      <c r="E29" s="260">
        <v>0</v>
      </c>
      <c r="F29" s="260">
        <v>0</v>
      </c>
      <c r="G29" s="260">
        <v>50000</v>
      </c>
      <c r="H29" s="260">
        <f t="shared" si="5"/>
        <v>51500</v>
      </c>
      <c r="I29" s="445">
        <f t="shared" si="5"/>
        <v>53045</v>
      </c>
      <c r="J29" s="445">
        <f t="shared" si="5"/>
        <v>54636.35</v>
      </c>
      <c r="K29" s="445">
        <f t="shared" si="5"/>
        <v>56275.440499999997</v>
      </c>
      <c r="L29" s="445">
        <f t="shared" si="5"/>
        <v>57963.703714999996</v>
      </c>
    </row>
    <row r="30" spans="2:13" ht="15" customHeight="1" x14ac:dyDescent="0.25">
      <c r="B30" s="263">
        <v>1</v>
      </c>
      <c r="C30" s="452" t="s">
        <v>432</v>
      </c>
      <c r="E30" s="260">
        <v>0</v>
      </c>
      <c r="F30" s="260">
        <v>0</v>
      </c>
      <c r="G30" s="260">
        <v>50000</v>
      </c>
      <c r="H30" s="260">
        <f t="shared" si="5"/>
        <v>51500</v>
      </c>
      <c r="I30" s="445">
        <f t="shared" si="5"/>
        <v>53045</v>
      </c>
      <c r="J30" s="445">
        <f t="shared" si="5"/>
        <v>54636.35</v>
      </c>
      <c r="K30" s="445">
        <f t="shared" si="5"/>
        <v>56275.440499999997</v>
      </c>
      <c r="L30" s="445">
        <f t="shared" si="5"/>
        <v>57963.703714999996</v>
      </c>
    </row>
    <row r="31" spans="2:13" ht="15" customHeight="1" x14ac:dyDescent="0.25">
      <c r="B31" s="263">
        <v>1</v>
      </c>
      <c r="C31" s="452" t="s">
        <v>433</v>
      </c>
      <c r="E31" s="260">
        <v>0</v>
      </c>
      <c r="F31" s="260">
        <v>0</v>
      </c>
      <c r="G31" s="260">
        <v>50000</v>
      </c>
      <c r="H31" s="260">
        <f t="shared" si="5"/>
        <v>51500</v>
      </c>
      <c r="I31" s="445">
        <f t="shared" si="5"/>
        <v>53045</v>
      </c>
      <c r="J31" s="445">
        <f t="shared" si="5"/>
        <v>54636.35</v>
      </c>
      <c r="K31" s="445">
        <f t="shared" si="5"/>
        <v>56275.440499999997</v>
      </c>
      <c r="L31" s="445">
        <f t="shared" si="5"/>
        <v>57963.703714999996</v>
      </c>
    </row>
    <row r="32" spans="2:13" ht="15" customHeight="1" x14ac:dyDescent="0.25">
      <c r="B32" s="263">
        <v>1</v>
      </c>
      <c r="C32" s="452" t="s">
        <v>434</v>
      </c>
      <c r="E32" s="260">
        <v>0</v>
      </c>
      <c r="F32" s="260">
        <v>0</v>
      </c>
      <c r="G32" s="260">
        <v>50000</v>
      </c>
      <c r="H32" s="260">
        <f t="shared" si="5"/>
        <v>51500</v>
      </c>
      <c r="I32" s="445">
        <f t="shared" si="5"/>
        <v>53045</v>
      </c>
      <c r="J32" s="445">
        <f t="shared" si="5"/>
        <v>54636.35</v>
      </c>
      <c r="K32" s="445">
        <f t="shared" si="5"/>
        <v>56275.440499999997</v>
      </c>
      <c r="L32" s="445">
        <f t="shared" si="5"/>
        <v>57963.703714999996</v>
      </c>
    </row>
    <row r="33" spans="2:12" s="259" customFormat="1" ht="15" customHeight="1" x14ac:dyDescent="0.25">
      <c r="B33" s="269">
        <f>SUM(B26:B32)</f>
        <v>7</v>
      </c>
      <c r="C33" s="259" t="s">
        <v>435</v>
      </c>
      <c r="E33" s="260">
        <v>0</v>
      </c>
      <c r="F33" s="260">
        <v>0</v>
      </c>
      <c r="G33" s="259">
        <f t="shared" ref="G33:L33" si="6">SUM(G26:G32)</f>
        <v>350000</v>
      </c>
      <c r="H33" s="259">
        <f>SUM(H26:H32)</f>
        <v>360500</v>
      </c>
      <c r="I33" s="448">
        <f t="shared" si="6"/>
        <v>371315</v>
      </c>
      <c r="J33" s="448">
        <f t="shared" si="6"/>
        <v>382454.44999999995</v>
      </c>
      <c r="K33" s="448">
        <f t="shared" si="6"/>
        <v>393928.08350000007</v>
      </c>
      <c r="L33" s="448">
        <f t="shared" si="6"/>
        <v>405745.92600500002</v>
      </c>
    </row>
    <row r="35" spans="2:12" ht="15" customHeight="1" x14ac:dyDescent="0.25">
      <c r="B35" s="263">
        <v>1</v>
      </c>
      <c r="C35" s="452" t="s">
        <v>436</v>
      </c>
      <c r="E35" s="260">
        <v>0</v>
      </c>
      <c r="F35" s="260">
        <v>0</v>
      </c>
      <c r="G35" s="260">
        <v>0</v>
      </c>
      <c r="H35" s="260">
        <v>50000</v>
      </c>
      <c r="I35" s="445">
        <f t="shared" ref="I35:L41" si="7">H35+(H35*$N$6)</f>
        <v>51500</v>
      </c>
      <c r="J35" s="445">
        <f t="shared" si="7"/>
        <v>53045</v>
      </c>
      <c r="K35" s="445">
        <f t="shared" si="7"/>
        <v>54636.35</v>
      </c>
      <c r="L35" s="445">
        <f t="shared" si="7"/>
        <v>56275.440499999997</v>
      </c>
    </row>
    <row r="36" spans="2:12" ht="15" customHeight="1" x14ac:dyDescent="0.25">
      <c r="B36" s="263">
        <v>1</v>
      </c>
      <c r="C36" s="452" t="s">
        <v>437</v>
      </c>
      <c r="E36" s="260">
        <v>0</v>
      </c>
      <c r="F36" s="260">
        <v>0</v>
      </c>
      <c r="G36" s="260">
        <v>0</v>
      </c>
      <c r="H36" s="260">
        <v>50000</v>
      </c>
      <c r="I36" s="445">
        <f t="shared" si="7"/>
        <v>51500</v>
      </c>
      <c r="J36" s="445">
        <f t="shared" si="7"/>
        <v>53045</v>
      </c>
      <c r="K36" s="445">
        <f t="shared" si="7"/>
        <v>54636.35</v>
      </c>
      <c r="L36" s="445">
        <f t="shared" si="7"/>
        <v>56275.440499999997</v>
      </c>
    </row>
    <row r="37" spans="2:12" ht="15" customHeight="1" x14ac:dyDescent="0.25">
      <c r="B37" s="263">
        <v>1</v>
      </c>
      <c r="C37" s="452" t="s">
        <v>438</v>
      </c>
      <c r="E37" s="260">
        <v>0</v>
      </c>
      <c r="F37" s="260">
        <v>0</v>
      </c>
      <c r="G37" s="260">
        <v>0</v>
      </c>
      <c r="H37" s="260">
        <v>50000</v>
      </c>
      <c r="I37" s="445">
        <f t="shared" si="7"/>
        <v>51500</v>
      </c>
      <c r="J37" s="445">
        <f t="shared" si="7"/>
        <v>53045</v>
      </c>
      <c r="K37" s="445">
        <f t="shared" si="7"/>
        <v>54636.35</v>
      </c>
      <c r="L37" s="445">
        <f t="shared" si="7"/>
        <v>56275.440499999997</v>
      </c>
    </row>
    <row r="38" spans="2:12" ht="15" customHeight="1" x14ac:dyDescent="0.25">
      <c r="B38" s="263">
        <v>1</v>
      </c>
      <c r="C38" s="452" t="s">
        <v>439</v>
      </c>
      <c r="E38" s="260">
        <v>0</v>
      </c>
      <c r="F38" s="260">
        <v>0</v>
      </c>
      <c r="G38" s="260">
        <v>0</v>
      </c>
      <c r="H38" s="260">
        <v>50000</v>
      </c>
      <c r="I38" s="445">
        <f t="shared" si="7"/>
        <v>51500</v>
      </c>
      <c r="J38" s="445">
        <f t="shared" si="7"/>
        <v>53045</v>
      </c>
      <c r="K38" s="445">
        <f t="shared" si="7"/>
        <v>54636.35</v>
      </c>
      <c r="L38" s="445">
        <f t="shared" si="7"/>
        <v>56275.440499999997</v>
      </c>
    </row>
    <row r="39" spans="2:12" ht="15" customHeight="1" x14ac:dyDescent="0.25">
      <c r="B39" s="263">
        <v>1</v>
      </c>
      <c r="C39" s="452" t="s">
        <v>440</v>
      </c>
      <c r="E39" s="260">
        <v>0</v>
      </c>
      <c r="F39" s="260">
        <v>0</v>
      </c>
      <c r="G39" s="260">
        <v>0</v>
      </c>
      <c r="H39" s="260">
        <v>50000</v>
      </c>
      <c r="I39" s="445">
        <f t="shared" si="7"/>
        <v>51500</v>
      </c>
      <c r="J39" s="445">
        <f t="shared" si="7"/>
        <v>53045</v>
      </c>
      <c r="K39" s="445">
        <f t="shared" si="7"/>
        <v>54636.35</v>
      </c>
      <c r="L39" s="445">
        <f t="shared" si="7"/>
        <v>56275.440499999997</v>
      </c>
    </row>
    <row r="40" spans="2:12" ht="15" customHeight="1" x14ac:dyDescent="0.25">
      <c r="B40" s="263">
        <v>1</v>
      </c>
      <c r="C40" s="452" t="s">
        <v>441</v>
      </c>
      <c r="E40" s="260">
        <v>0</v>
      </c>
      <c r="F40" s="260">
        <v>0</v>
      </c>
      <c r="G40" s="260">
        <v>0</v>
      </c>
      <c r="H40" s="260">
        <v>50000</v>
      </c>
      <c r="I40" s="445">
        <f t="shared" si="7"/>
        <v>51500</v>
      </c>
      <c r="J40" s="445">
        <f t="shared" si="7"/>
        <v>53045</v>
      </c>
      <c r="K40" s="445">
        <f t="shared" si="7"/>
        <v>54636.35</v>
      </c>
      <c r="L40" s="445">
        <f t="shared" si="7"/>
        <v>56275.440499999997</v>
      </c>
    </row>
    <row r="41" spans="2:12" ht="15" customHeight="1" x14ac:dyDescent="0.25">
      <c r="B41" s="263">
        <v>1</v>
      </c>
      <c r="C41" s="452" t="s">
        <v>442</v>
      </c>
      <c r="E41" s="260">
        <v>0</v>
      </c>
      <c r="F41" s="260">
        <v>0</v>
      </c>
      <c r="G41" s="260">
        <v>0</v>
      </c>
      <c r="H41" s="260">
        <v>50000</v>
      </c>
      <c r="I41" s="445">
        <f t="shared" si="7"/>
        <v>51500</v>
      </c>
      <c r="J41" s="445">
        <f t="shared" si="7"/>
        <v>53045</v>
      </c>
      <c r="K41" s="445">
        <f t="shared" si="7"/>
        <v>54636.35</v>
      </c>
      <c r="L41" s="445">
        <f t="shared" si="7"/>
        <v>56275.440499999997</v>
      </c>
    </row>
    <row r="42" spans="2:12" ht="15" customHeight="1" x14ac:dyDescent="0.25">
      <c r="B42" s="269">
        <f>SUM(B35:B41)</f>
        <v>7</v>
      </c>
      <c r="C42" s="259" t="s">
        <v>443</v>
      </c>
      <c r="E42" s="260">
        <v>0</v>
      </c>
      <c r="F42" s="260">
        <v>0</v>
      </c>
      <c r="G42" s="260">
        <v>0</v>
      </c>
      <c r="H42" s="261">
        <f>SUM(H35:H41)</f>
        <v>350000</v>
      </c>
      <c r="I42" s="448">
        <f>SUM(I35:I41)</f>
        <v>360500</v>
      </c>
      <c r="J42" s="448">
        <f>SUM(J35:J41)</f>
        <v>371315</v>
      </c>
      <c r="K42" s="448">
        <f>SUM(K35:K41)</f>
        <v>382454.44999999995</v>
      </c>
      <c r="L42" s="448">
        <f>SUM(L35:L41)</f>
        <v>393928.08350000007</v>
      </c>
    </row>
    <row r="44" spans="2:12" ht="15" customHeight="1" x14ac:dyDescent="0.25">
      <c r="B44" s="269" t="s">
        <v>737</v>
      </c>
      <c r="C44" s="312" t="s">
        <v>444</v>
      </c>
      <c r="E44" s="312">
        <f t="shared" ref="E44:L44" si="8">E42+E33+E24+E17+E16+E14+E9</f>
        <v>80000</v>
      </c>
      <c r="F44" s="312">
        <f t="shared" si="8"/>
        <v>500000</v>
      </c>
      <c r="G44" s="312">
        <f t="shared" si="8"/>
        <v>862600</v>
      </c>
      <c r="H44" s="312">
        <f t="shared" si="8"/>
        <v>1236078</v>
      </c>
      <c r="I44" s="445">
        <f t="shared" si="8"/>
        <v>1390760.34</v>
      </c>
      <c r="J44" s="445">
        <f t="shared" si="8"/>
        <v>1430083.1501999998</v>
      </c>
      <c r="K44" s="445">
        <f t="shared" si="8"/>
        <v>1470585.6447060001</v>
      </c>
      <c r="L44" s="445">
        <f t="shared" si="8"/>
        <v>1512303.2140471803</v>
      </c>
    </row>
    <row r="45" spans="2:12" ht="15" customHeight="1" x14ac:dyDescent="0.25">
      <c r="B45" s="263" t="s">
        <v>51</v>
      </c>
      <c r="I45" s="445">
        <v>7</v>
      </c>
      <c r="J45" s="445">
        <v>14</v>
      </c>
      <c r="K45" s="445">
        <v>21</v>
      </c>
      <c r="L45" s="445">
        <v>27</v>
      </c>
    </row>
    <row r="46" spans="2:12" ht="15" customHeight="1" x14ac:dyDescent="0.25">
      <c r="B46" s="263">
        <v>1</v>
      </c>
      <c r="C46" s="442" t="s">
        <v>445</v>
      </c>
      <c r="E46" s="260">
        <v>0</v>
      </c>
      <c r="F46" s="260">
        <v>0</v>
      </c>
      <c r="G46" s="260">
        <v>0</v>
      </c>
      <c r="H46" s="260">
        <v>0</v>
      </c>
      <c r="I46" s="445">
        <v>50000</v>
      </c>
      <c r="J46" s="445">
        <f t="shared" ref="J46:L52" si="9">I46+(I46*$N$6)</f>
        <v>51500</v>
      </c>
      <c r="K46" s="445">
        <f t="shared" si="9"/>
        <v>53045</v>
      </c>
      <c r="L46" s="445">
        <f t="shared" si="9"/>
        <v>54636.35</v>
      </c>
    </row>
    <row r="47" spans="2:12" ht="15" customHeight="1" x14ac:dyDescent="0.25">
      <c r="B47" s="263">
        <v>1</v>
      </c>
      <c r="C47" s="442" t="s">
        <v>446</v>
      </c>
      <c r="E47" s="260">
        <v>0</v>
      </c>
      <c r="F47" s="260">
        <v>0</v>
      </c>
      <c r="G47" s="260">
        <v>0</v>
      </c>
      <c r="H47" s="260">
        <v>0</v>
      </c>
      <c r="I47" s="445">
        <v>50000</v>
      </c>
      <c r="J47" s="445">
        <f t="shared" si="9"/>
        <v>51500</v>
      </c>
      <c r="K47" s="445">
        <f t="shared" si="9"/>
        <v>53045</v>
      </c>
      <c r="L47" s="445">
        <f t="shared" si="9"/>
        <v>54636.35</v>
      </c>
    </row>
    <row r="48" spans="2:12" ht="15" customHeight="1" x14ac:dyDescent="0.25">
      <c r="B48" s="263">
        <v>1</v>
      </c>
      <c r="C48" s="442" t="s">
        <v>447</v>
      </c>
      <c r="E48" s="260">
        <v>0</v>
      </c>
      <c r="F48" s="260">
        <v>0</v>
      </c>
      <c r="G48" s="260">
        <v>0</v>
      </c>
      <c r="H48" s="260">
        <v>0</v>
      </c>
      <c r="I48" s="445">
        <v>50000</v>
      </c>
      <c r="J48" s="445">
        <f t="shared" si="9"/>
        <v>51500</v>
      </c>
      <c r="K48" s="445">
        <f t="shared" si="9"/>
        <v>53045</v>
      </c>
      <c r="L48" s="445">
        <f t="shared" si="9"/>
        <v>54636.35</v>
      </c>
    </row>
    <row r="49" spans="2:12" ht="15" customHeight="1" x14ac:dyDescent="0.25">
      <c r="B49" s="263">
        <v>1</v>
      </c>
      <c r="C49" s="442" t="s">
        <v>448</v>
      </c>
      <c r="E49" s="260">
        <v>0</v>
      </c>
      <c r="F49" s="260">
        <v>0</v>
      </c>
      <c r="G49" s="260">
        <v>0</v>
      </c>
      <c r="H49" s="260">
        <v>0</v>
      </c>
      <c r="I49" s="445">
        <v>50000</v>
      </c>
      <c r="J49" s="445">
        <f t="shared" si="9"/>
        <v>51500</v>
      </c>
      <c r="K49" s="445">
        <f t="shared" si="9"/>
        <v>53045</v>
      </c>
      <c r="L49" s="445">
        <f t="shared" si="9"/>
        <v>54636.35</v>
      </c>
    </row>
    <row r="50" spans="2:12" ht="15" customHeight="1" x14ac:dyDescent="0.25">
      <c r="B50" s="263">
        <v>1</v>
      </c>
      <c r="C50" s="452" t="s">
        <v>449</v>
      </c>
      <c r="E50" s="260">
        <v>0</v>
      </c>
      <c r="F50" s="260">
        <v>0</v>
      </c>
      <c r="G50" s="260">
        <v>0</v>
      </c>
      <c r="H50" s="260">
        <v>0</v>
      </c>
      <c r="I50" s="445">
        <v>50000</v>
      </c>
      <c r="J50" s="445">
        <f t="shared" si="9"/>
        <v>51500</v>
      </c>
      <c r="K50" s="445">
        <f t="shared" si="9"/>
        <v>53045</v>
      </c>
      <c r="L50" s="445">
        <f t="shared" si="9"/>
        <v>54636.35</v>
      </c>
    </row>
    <row r="51" spans="2:12" ht="15" customHeight="1" x14ac:dyDescent="0.25">
      <c r="B51" s="263">
        <v>1</v>
      </c>
      <c r="C51" s="452" t="s">
        <v>450</v>
      </c>
      <c r="E51" s="260">
        <v>0</v>
      </c>
      <c r="F51" s="260">
        <v>0</v>
      </c>
      <c r="G51" s="260">
        <v>0</v>
      </c>
      <c r="H51" s="260">
        <v>0</v>
      </c>
      <c r="I51" s="445">
        <v>50000</v>
      </c>
      <c r="J51" s="445">
        <f t="shared" si="9"/>
        <v>51500</v>
      </c>
      <c r="K51" s="445">
        <f t="shared" si="9"/>
        <v>53045</v>
      </c>
      <c r="L51" s="445">
        <f t="shared" si="9"/>
        <v>54636.35</v>
      </c>
    </row>
    <row r="52" spans="2:12" ht="15" customHeight="1" x14ac:dyDescent="0.25">
      <c r="B52" s="263">
        <v>1</v>
      </c>
      <c r="C52" s="452" t="s">
        <v>451</v>
      </c>
      <c r="E52" s="260">
        <v>0</v>
      </c>
      <c r="F52" s="260">
        <v>0</v>
      </c>
      <c r="G52" s="260">
        <v>0</v>
      </c>
      <c r="H52" s="260">
        <v>0</v>
      </c>
      <c r="I52" s="445">
        <v>50000</v>
      </c>
      <c r="J52" s="445">
        <f t="shared" si="9"/>
        <v>51500</v>
      </c>
      <c r="K52" s="445">
        <f t="shared" si="9"/>
        <v>53045</v>
      </c>
      <c r="L52" s="445">
        <f t="shared" si="9"/>
        <v>54636.35</v>
      </c>
    </row>
    <row r="54" spans="2:12" ht="15" customHeight="1" x14ac:dyDescent="0.25">
      <c r="B54" s="263">
        <v>1</v>
      </c>
      <c r="C54" s="442" t="s">
        <v>452</v>
      </c>
      <c r="E54" s="260">
        <v>0</v>
      </c>
      <c r="F54" s="260">
        <v>0</v>
      </c>
      <c r="G54" s="260">
        <v>0</v>
      </c>
      <c r="H54" s="260">
        <v>0</v>
      </c>
      <c r="I54" s="445">
        <v>0</v>
      </c>
      <c r="J54" s="445">
        <v>50000</v>
      </c>
      <c r="K54" s="445">
        <f t="shared" ref="K54:L60" si="10">J54+(J54*$N$6)</f>
        <v>51500</v>
      </c>
      <c r="L54" s="445">
        <f t="shared" si="10"/>
        <v>53045</v>
      </c>
    </row>
    <row r="55" spans="2:12" ht="15" customHeight="1" x14ac:dyDescent="0.25">
      <c r="B55" s="263">
        <v>1</v>
      </c>
      <c r="C55" s="442" t="s">
        <v>453</v>
      </c>
      <c r="E55" s="260">
        <v>0</v>
      </c>
      <c r="F55" s="260">
        <v>0</v>
      </c>
      <c r="G55" s="260">
        <v>0</v>
      </c>
      <c r="H55" s="260">
        <v>0</v>
      </c>
      <c r="I55" s="445">
        <v>0</v>
      </c>
      <c r="J55" s="445">
        <v>50000</v>
      </c>
      <c r="K55" s="445">
        <f t="shared" si="10"/>
        <v>51500</v>
      </c>
      <c r="L55" s="445">
        <f t="shared" si="10"/>
        <v>53045</v>
      </c>
    </row>
    <row r="56" spans="2:12" ht="15" customHeight="1" x14ac:dyDescent="0.25">
      <c r="B56" s="263">
        <v>1</v>
      </c>
      <c r="C56" s="442" t="s">
        <v>454</v>
      </c>
      <c r="E56" s="260">
        <v>0</v>
      </c>
      <c r="F56" s="260">
        <v>0</v>
      </c>
      <c r="G56" s="260">
        <v>0</v>
      </c>
      <c r="H56" s="260">
        <v>0</v>
      </c>
      <c r="I56" s="445">
        <v>0</v>
      </c>
      <c r="J56" s="445">
        <v>50000</v>
      </c>
      <c r="K56" s="445">
        <f t="shared" si="10"/>
        <v>51500</v>
      </c>
      <c r="L56" s="445">
        <f t="shared" si="10"/>
        <v>53045</v>
      </c>
    </row>
    <row r="57" spans="2:12" ht="15" customHeight="1" x14ac:dyDescent="0.25">
      <c r="B57" s="263">
        <v>1</v>
      </c>
      <c r="C57" s="442" t="s">
        <v>455</v>
      </c>
      <c r="E57" s="260">
        <v>0</v>
      </c>
      <c r="F57" s="260">
        <v>0</v>
      </c>
      <c r="G57" s="260">
        <v>0</v>
      </c>
      <c r="H57" s="260">
        <v>0</v>
      </c>
      <c r="I57" s="445">
        <v>0</v>
      </c>
      <c r="J57" s="445">
        <v>50000</v>
      </c>
      <c r="K57" s="445">
        <f t="shared" si="10"/>
        <v>51500</v>
      </c>
      <c r="L57" s="445">
        <f t="shared" si="10"/>
        <v>53045</v>
      </c>
    </row>
    <row r="58" spans="2:12" ht="15" customHeight="1" x14ac:dyDescent="0.25">
      <c r="B58" s="263">
        <v>1</v>
      </c>
      <c r="C58" s="452" t="s">
        <v>456</v>
      </c>
      <c r="E58" s="260">
        <v>0</v>
      </c>
      <c r="F58" s="260">
        <v>0</v>
      </c>
      <c r="G58" s="260">
        <v>0</v>
      </c>
      <c r="H58" s="260">
        <v>0</v>
      </c>
      <c r="I58" s="445">
        <v>0</v>
      </c>
      <c r="J58" s="445">
        <v>50000</v>
      </c>
      <c r="K58" s="445">
        <f t="shared" si="10"/>
        <v>51500</v>
      </c>
      <c r="L58" s="445">
        <f t="shared" si="10"/>
        <v>53045</v>
      </c>
    </row>
    <row r="59" spans="2:12" ht="15" customHeight="1" x14ac:dyDescent="0.25">
      <c r="B59" s="263">
        <v>1</v>
      </c>
      <c r="C59" s="452" t="s">
        <v>457</v>
      </c>
      <c r="E59" s="260">
        <v>0</v>
      </c>
      <c r="F59" s="260">
        <v>0</v>
      </c>
      <c r="G59" s="260">
        <v>0</v>
      </c>
      <c r="H59" s="260">
        <v>0</v>
      </c>
      <c r="I59" s="445">
        <v>0</v>
      </c>
      <c r="J59" s="445">
        <v>50000</v>
      </c>
      <c r="K59" s="445">
        <f t="shared" si="10"/>
        <v>51500</v>
      </c>
      <c r="L59" s="445">
        <f t="shared" si="10"/>
        <v>53045</v>
      </c>
    </row>
    <row r="60" spans="2:12" ht="15" customHeight="1" x14ac:dyDescent="0.25">
      <c r="B60" s="263">
        <v>1</v>
      </c>
      <c r="C60" s="452" t="s">
        <v>458</v>
      </c>
      <c r="E60" s="260">
        <v>0</v>
      </c>
      <c r="F60" s="260">
        <v>0</v>
      </c>
      <c r="G60" s="260">
        <v>0</v>
      </c>
      <c r="H60" s="260">
        <v>0</v>
      </c>
      <c r="I60" s="445">
        <v>0</v>
      </c>
      <c r="J60" s="445">
        <v>50000</v>
      </c>
      <c r="K60" s="445">
        <f t="shared" si="10"/>
        <v>51500</v>
      </c>
      <c r="L60" s="445">
        <f t="shared" si="10"/>
        <v>53045</v>
      </c>
    </row>
    <row r="62" spans="2:12" ht="15" customHeight="1" x14ac:dyDescent="0.25">
      <c r="B62" s="263">
        <v>1</v>
      </c>
      <c r="C62" s="442" t="s">
        <v>459</v>
      </c>
      <c r="E62" s="260">
        <v>0</v>
      </c>
      <c r="F62" s="260">
        <v>0</v>
      </c>
      <c r="G62" s="260">
        <v>0</v>
      </c>
      <c r="H62" s="260">
        <v>0</v>
      </c>
      <c r="I62" s="445">
        <v>0</v>
      </c>
      <c r="J62" s="445">
        <v>0</v>
      </c>
      <c r="K62" s="445">
        <v>50000</v>
      </c>
      <c r="L62" s="445">
        <f t="shared" ref="L62:L68" si="11">K62+(K62*$N$6)</f>
        <v>51500</v>
      </c>
    </row>
    <row r="63" spans="2:12" ht="15" customHeight="1" x14ac:dyDescent="0.25">
      <c r="B63" s="263">
        <v>1</v>
      </c>
      <c r="C63" s="442" t="s">
        <v>460</v>
      </c>
      <c r="E63" s="260">
        <v>0</v>
      </c>
      <c r="F63" s="260">
        <v>0</v>
      </c>
      <c r="G63" s="260">
        <v>0</v>
      </c>
      <c r="H63" s="260">
        <v>0</v>
      </c>
      <c r="I63" s="445">
        <v>0</v>
      </c>
      <c r="J63" s="445">
        <v>0</v>
      </c>
      <c r="K63" s="445">
        <v>50000</v>
      </c>
      <c r="L63" s="445">
        <f t="shared" si="11"/>
        <v>51500</v>
      </c>
    </row>
    <row r="64" spans="2:12" ht="15" customHeight="1" x14ac:dyDescent="0.25">
      <c r="B64" s="263">
        <v>1</v>
      </c>
      <c r="C64" s="442" t="s">
        <v>461</v>
      </c>
      <c r="E64" s="260">
        <v>0</v>
      </c>
      <c r="F64" s="260">
        <v>0</v>
      </c>
      <c r="G64" s="260">
        <v>0</v>
      </c>
      <c r="H64" s="260">
        <v>0</v>
      </c>
      <c r="I64" s="445">
        <v>0</v>
      </c>
      <c r="J64" s="445">
        <v>0</v>
      </c>
      <c r="K64" s="445">
        <v>50000</v>
      </c>
      <c r="L64" s="445">
        <f t="shared" si="11"/>
        <v>51500</v>
      </c>
    </row>
    <row r="65" spans="2:12" ht="15" customHeight="1" x14ac:dyDescent="0.25">
      <c r="B65" s="263">
        <v>1</v>
      </c>
      <c r="C65" s="442" t="s">
        <v>462</v>
      </c>
      <c r="E65" s="260">
        <v>0</v>
      </c>
      <c r="F65" s="260">
        <v>0</v>
      </c>
      <c r="G65" s="260">
        <v>0</v>
      </c>
      <c r="H65" s="260">
        <v>0</v>
      </c>
      <c r="I65" s="445">
        <v>0</v>
      </c>
      <c r="J65" s="445">
        <v>0</v>
      </c>
      <c r="K65" s="445">
        <v>50000</v>
      </c>
      <c r="L65" s="445">
        <f t="shared" si="11"/>
        <v>51500</v>
      </c>
    </row>
    <row r="66" spans="2:12" ht="15" customHeight="1" x14ac:dyDescent="0.25">
      <c r="B66" s="263">
        <v>1</v>
      </c>
      <c r="C66" s="452" t="s">
        <v>463</v>
      </c>
      <c r="E66" s="260">
        <v>0</v>
      </c>
      <c r="F66" s="260">
        <v>0</v>
      </c>
      <c r="G66" s="260">
        <v>0</v>
      </c>
      <c r="H66" s="260">
        <v>0</v>
      </c>
      <c r="I66" s="445">
        <v>0</v>
      </c>
      <c r="J66" s="445">
        <v>0</v>
      </c>
      <c r="K66" s="445">
        <v>50000</v>
      </c>
      <c r="L66" s="445">
        <f t="shared" si="11"/>
        <v>51500</v>
      </c>
    </row>
    <row r="67" spans="2:12" ht="15" customHeight="1" x14ac:dyDescent="0.25">
      <c r="B67" s="263">
        <v>1</v>
      </c>
      <c r="C67" s="452" t="s">
        <v>464</v>
      </c>
      <c r="E67" s="260">
        <v>0</v>
      </c>
      <c r="F67" s="260">
        <v>0</v>
      </c>
      <c r="G67" s="260">
        <v>0</v>
      </c>
      <c r="H67" s="260">
        <v>0</v>
      </c>
      <c r="I67" s="445">
        <v>0</v>
      </c>
      <c r="J67" s="445">
        <v>0</v>
      </c>
      <c r="K67" s="445">
        <v>50000</v>
      </c>
      <c r="L67" s="445">
        <f t="shared" si="11"/>
        <v>51500</v>
      </c>
    </row>
    <row r="68" spans="2:12" ht="15" customHeight="1" x14ac:dyDescent="0.25">
      <c r="B68" s="263">
        <v>1</v>
      </c>
      <c r="C68" s="452" t="s">
        <v>465</v>
      </c>
      <c r="E68" s="260">
        <v>0</v>
      </c>
      <c r="F68" s="260">
        <v>0</v>
      </c>
      <c r="G68" s="260">
        <v>0</v>
      </c>
      <c r="H68" s="260">
        <v>0</v>
      </c>
      <c r="I68" s="445">
        <v>0</v>
      </c>
      <c r="J68" s="445">
        <v>0</v>
      </c>
      <c r="K68" s="445">
        <v>50000</v>
      </c>
      <c r="L68" s="445">
        <f t="shared" si="11"/>
        <v>51500</v>
      </c>
    </row>
    <row r="70" spans="2:12" ht="15" customHeight="1" x14ac:dyDescent="0.25">
      <c r="B70" s="263">
        <v>1</v>
      </c>
      <c r="C70" s="442" t="s">
        <v>466</v>
      </c>
      <c r="E70" s="260">
        <v>0</v>
      </c>
      <c r="F70" s="260">
        <v>0</v>
      </c>
      <c r="G70" s="260">
        <v>0</v>
      </c>
      <c r="H70" s="260">
        <v>0</v>
      </c>
      <c r="I70" s="445">
        <v>0</v>
      </c>
      <c r="J70" s="445">
        <v>0</v>
      </c>
      <c r="K70" s="445">
        <v>0</v>
      </c>
      <c r="L70" s="445">
        <v>50000</v>
      </c>
    </row>
    <row r="71" spans="2:12" ht="15" customHeight="1" x14ac:dyDescent="0.25">
      <c r="B71" s="263">
        <v>1</v>
      </c>
      <c r="C71" s="442" t="s">
        <v>467</v>
      </c>
      <c r="E71" s="260">
        <v>0</v>
      </c>
      <c r="F71" s="260">
        <v>0</v>
      </c>
      <c r="G71" s="260">
        <v>0</v>
      </c>
      <c r="H71" s="260">
        <v>0</v>
      </c>
      <c r="I71" s="445">
        <v>0</v>
      </c>
      <c r="J71" s="445">
        <v>0</v>
      </c>
      <c r="K71" s="445">
        <v>0</v>
      </c>
      <c r="L71" s="445">
        <v>50000</v>
      </c>
    </row>
    <row r="72" spans="2:12" ht="15" customHeight="1" x14ac:dyDescent="0.25">
      <c r="B72" s="263">
        <v>1</v>
      </c>
      <c r="C72" s="442" t="s">
        <v>468</v>
      </c>
      <c r="E72" s="260">
        <v>0</v>
      </c>
      <c r="F72" s="260">
        <v>0</v>
      </c>
      <c r="G72" s="260">
        <v>0</v>
      </c>
      <c r="H72" s="260">
        <v>0</v>
      </c>
      <c r="I72" s="445">
        <v>0</v>
      </c>
      <c r="J72" s="445">
        <v>0</v>
      </c>
      <c r="K72" s="445">
        <v>0</v>
      </c>
      <c r="L72" s="445">
        <v>50000</v>
      </c>
    </row>
    <row r="73" spans="2:12" ht="15" customHeight="1" x14ac:dyDescent="0.25">
      <c r="B73" s="263">
        <v>1</v>
      </c>
      <c r="C73" s="452" t="s">
        <v>469</v>
      </c>
      <c r="E73" s="260">
        <v>0</v>
      </c>
      <c r="F73" s="260">
        <v>0</v>
      </c>
      <c r="G73" s="260">
        <v>0</v>
      </c>
      <c r="H73" s="260">
        <v>0</v>
      </c>
      <c r="I73" s="445">
        <v>0</v>
      </c>
      <c r="J73" s="445">
        <v>0</v>
      </c>
      <c r="K73" s="445">
        <v>0</v>
      </c>
      <c r="L73" s="445">
        <v>50000</v>
      </c>
    </row>
    <row r="74" spans="2:12" ht="15" customHeight="1" x14ac:dyDescent="0.25">
      <c r="B74" s="263">
        <v>1</v>
      </c>
      <c r="C74" s="452" t="s">
        <v>470</v>
      </c>
      <c r="E74" s="260">
        <v>0</v>
      </c>
      <c r="F74" s="260">
        <v>0</v>
      </c>
      <c r="G74" s="260">
        <v>0</v>
      </c>
      <c r="H74" s="260">
        <v>0</v>
      </c>
      <c r="I74" s="445">
        <v>0</v>
      </c>
      <c r="J74" s="445">
        <v>0</v>
      </c>
      <c r="K74" s="445">
        <v>0</v>
      </c>
      <c r="L74" s="445">
        <v>50000</v>
      </c>
    </row>
    <row r="75" spans="2:12" ht="15" customHeight="1" x14ac:dyDescent="0.25">
      <c r="B75" s="263">
        <v>1</v>
      </c>
      <c r="C75" s="452" t="s">
        <v>471</v>
      </c>
      <c r="E75" s="260">
        <v>0</v>
      </c>
      <c r="F75" s="260">
        <v>0</v>
      </c>
      <c r="G75" s="260">
        <v>0</v>
      </c>
      <c r="H75" s="260">
        <v>0</v>
      </c>
      <c r="I75" s="445">
        <v>0</v>
      </c>
      <c r="J75" s="445">
        <v>0</v>
      </c>
      <c r="K75" s="445">
        <v>0</v>
      </c>
      <c r="L75" s="445">
        <v>50000</v>
      </c>
    </row>
    <row r="77" spans="2:12" ht="15" customHeight="1" x14ac:dyDescent="0.25">
      <c r="B77" s="263">
        <v>27</v>
      </c>
      <c r="C77" s="312" t="s">
        <v>472</v>
      </c>
      <c r="E77" s="312">
        <f t="shared" ref="E77:L77" si="12">SUM(E46:E75)</f>
        <v>0</v>
      </c>
      <c r="F77" s="312">
        <f t="shared" si="12"/>
        <v>0</v>
      </c>
      <c r="G77" s="312">
        <f t="shared" si="12"/>
        <v>0</v>
      </c>
      <c r="H77" s="312">
        <f t="shared" si="12"/>
        <v>0</v>
      </c>
      <c r="I77" s="445">
        <f t="shared" si="12"/>
        <v>350000</v>
      </c>
      <c r="J77" s="445">
        <f t="shared" si="12"/>
        <v>710500</v>
      </c>
      <c r="K77" s="445">
        <f t="shared" si="12"/>
        <v>1081815</v>
      </c>
      <c r="L77" s="445">
        <f t="shared" si="12"/>
        <v>1414269.45</v>
      </c>
    </row>
    <row r="80" spans="2:12" ht="15" customHeight="1" x14ac:dyDescent="0.25">
      <c r="B80" s="470" t="s">
        <v>737</v>
      </c>
      <c r="C80" s="312" t="s">
        <v>444</v>
      </c>
      <c r="E80" s="312">
        <f t="shared" ref="E80:L80" si="13">E44</f>
        <v>80000</v>
      </c>
      <c r="F80" s="312">
        <f t="shared" si="13"/>
        <v>500000</v>
      </c>
      <c r="G80" s="312">
        <f t="shared" si="13"/>
        <v>862600</v>
      </c>
      <c r="H80" s="312">
        <f t="shared" si="13"/>
        <v>1236078</v>
      </c>
      <c r="I80" s="445">
        <f t="shared" si="13"/>
        <v>1390760.34</v>
      </c>
      <c r="J80" s="445">
        <f t="shared" si="13"/>
        <v>1430083.1501999998</v>
      </c>
      <c r="K80" s="445">
        <f t="shared" si="13"/>
        <v>1470585.6447060001</v>
      </c>
      <c r="L80" s="445">
        <f t="shared" si="13"/>
        <v>1512303.2140471803</v>
      </c>
    </row>
    <row r="81" spans="2:12" ht="15" customHeight="1" x14ac:dyDescent="0.25">
      <c r="B81" s="263">
        <v>27</v>
      </c>
      <c r="C81" s="312" t="s">
        <v>472</v>
      </c>
      <c r="E81" s="312">
        <f t="shared" ref="E81:L81" si="14">E77</f>
        <v>0</v>
      </c>
      <c r="F81" s="312">
        <f t="shared" si="14"/>
        <v>0</v>
      </c>
      <c r="G81" s="312">
        <f t="shared" si="14"/>
        <v>0</v>
      </c>
      <c r="H81" s="312">
        <f t="shared" si="14"/>
        <v>0</v>
      </c>
      <c r="I81" s="445">
        <f t="shared" si="14"/>
        <v>350000</v>
      </c>
      <c r="J81" s="445">
        <f t="shared" si="14"/>
        <v>710500</v>
      </c>
      <c r="K81" s="445">
        <f t="shared" si="14"/>
        <v>1081815</v>
      </c>
      <c r="L81" s="445">
        <f t="shared" si="14"/>
        <v>1414269.45</v>
      </c>
    </row>
    <row r="82" spans="2:12" ht="15" customHeight="1" x14ac:dyDescent="0.25">
      <c r="C82" s="317"/>
      <c r="E82" s="317"/>
      <c r="F82" s="317"/>
      <c r="G82" s="317"/>
      <c r="H82" s="317"/>
      <c r="I82" s="448"/>
      <c r="J82" s="448"/>
      <c r="K82" s="448"/>
      <c r="L82" s="448"/>
    </row>
    <row r="83" spans="2:12" ht="31.05" customHeight="1" x14ac:dyDescent="0.25">
      <c r="B83" s="263">
        <v>52</v>
      </c>
      <c r="C83" s="316" t="s">
        <v>473</v>
      </c>
      <c r="E83" s="316">
        <f t="shared" ref="E83:L83" si="15">SUM(E80:E81)</f>
        <v>80000</v>
      </c>
      <c r="F83" s="316">
        <f t="shared" si="15"/>
        <v>500000</v>
      </c>
      <c r="G83" s="316">
        <f t="shared" si="15"/>
        <v>862600</v>
      </c>
      <c r="H83" s="316">
        <f t="shared" si="15"/>
        <v>1236078</v>
      </c>
      <c r="I83" s="448">
        <f t="shared" si="15"/>
        <v>1740760.34</v>
      </c>
      <c r="J83" s="448">
        <f t="shared" si="15"/>
        <v>2140583.1502</v>
      </c>
      <c r="K83" s="448">
        <f t="shared" si="15"/>
        <v>2552400.6447060001</v>
      </c>
      <c r="L83" s="448">
        <f t="shared" si="15"/>
        <v>2926572.6640471802</v>
      </c>
    </row>
    <row r="84" spans="2:12" ht="15" customHeight="1" x14ac:dyDescent="0.25">
      <c r="C84" s="264"/>
      <c r="E84" s="264"/>
      <c r="F84" s="264"/>
      <c r="G84" s="264"/>
      <c r="H84" s="264"/>
      <c r="I84" s="448"/>
      <c r="J84" s="448"/>
      <c r="K84" s="448"/>
      <c r="L84" s="448"/>
    </row>
    <row r="87" spans="2:12" ht="15" customHeight="1" x14ac:dyDescent="0.25">
      <c r="C87" s="323" t="s">
        <v>601</v>
      </c>
      <c r="E87" s="255" t="s">
        <v>610</v>
      </c>
      <c r="F87" s="260">
        <v>10</v>
      </c>
    </row>
    <row r="88" spans="2:12" ht="15" customHeight="1" x14ac:dyDescent="0.25">
      <c r="C88" s="255" t="s">
        <v>602</v>
      </c>
      <c r="E88" s="387" t="s">
        <v>603</v>
      </c>
      <c r="F88" s="387" t="s">
        <v>604</v>
      </c>
      <c r="G88" s="387" t="s">
        <v>605</v>
      </c>
      <c r="H88" s="387" t="s">
        <v>606</v>
      </c>
      <c r="I88" s="449" t="s">
        <v>237</v>
      </c>
      <c r="J88" s="449" t="s">
        <v>607</v>
      </c>
      <c r="L88" s="450" t="s">
        <v>473</v>
      </c>
    </row>
    <row r="89" spans="2:12" ht="15" customHeight="1" x14ac:dyDescent="0.25">
      <c r="C89" s="255" t="s">
        <v>611</v>
      </c>
      <c r="E89" s="255">
        <v>2</v>
      </c>
      <c r="F89" s="255">
        <v>3</v>
      </c>
      <c r="G89" s="255">
        <v>4</v>
      </c>
      <c r="H89" s="255">
        <v>5</v>
      </c>
      <c r="I89" s="445">
        <v>10</v>
      </c>
      <c r="J89" s="445">
        <v>20</v>
      </c>
    </row>
    <row r="90" spans="2:12" ht="15" customHeight="1" x14ac:dyDescent="0.25">
      <c r="C90" s="255" t="s">
        <v>608</v>
      </c>
      <c r="E90" s="260">
        <f t="shared" ref="E90:J90" si="16">E89*4*$F$87</f>
        <v>80</v>
      </c>
      <c r="F90" s="260">
        <f t="shared" si="16"/>
        <v>120</v>
      </c>
      <c r="G90" s="260">
        <f t="shared" si="16"/>
        <v>160</v>
      </c>
      <c r="H90" s="260">
        <f t="shared" si="16"/>
        <v>200</v>
      </c>
      <c r="I90" s="445">
        <f t="shared" si="16"/>
        <v>400</v>
      </c>
      <c r="J90" s="445">
        <f t="shared" si="16"/>
        <v>800</v>
      </c>
      <c r="L90" s="445">
        <f>SUM(E90:J90)</f>
        <v>1760</v>
      </c>
    </row>
    <row r="91" spans="2:12" ht="15" customHeight="1" x14ac:dyDescent="0.25">
      <c r="C91" s="255" t="s">
        <v>418</v>
      </c>
      <c r="E91" s="260">
        <f>E89*4*$F$87</f>
        <v>80</v>
      </c>
      <c r="F91" s="260">
        <f t="shared" ref="F91:J91" si="17">F89*4*$F$87</f>
        <v>120</v>
      </c>
      <c r="G91" s="260">
        <f t="shared" si="17"/>
        <v>160</v>
      </c>
      <c r="H91" s="260">
        <f t="shared" si="17"/>
        <v>200</v>
      </c>
      <c r="I91" s="445">
        <f t="shared" si="17"/>
        <v>400</v>
      </c>
      <c r="J91" s="445">
        <f t="shared" si="17"/>
        <v>800</v>
      </c>
      <c r="L91" s="445">
        <f>SUM(E91:J91)</f>
        <v>1760</v>
      </c>
    </row>
    <row r="92" spans="2:12" ht="15" customHeight="1" x14ac:dyDescent="0.25">
      <c r="C92" s="255" t="s">
        <v>609</v>
      </c>
      <c r="E92" s="260">
        <f>E89*4*$F$87</f>
        <v>80</v>
      </c>
      <c r="F92" s="260">
        <f t="shared" ref="F92:J92" si="18">F89*4*$F$87</f>
        <v>120</v>
      </c>
      <c r="G92" s="260">
        <f t="shared" si="18"/>
        <v>160</v>
      </c>
      <c r="H92" s="260">
        <f t="shared" si="18"/>
        <v>200</v>
      </c>
      <c r="I92" s="445">
        <f t="shared" si="18"/>
        <v>400</v>
      </c>
      <c r="J92" s="445">
        <f t="shared" si="18"/>
        <v>800</v>
      </c>
      <c r="L92" s="445">
        <f>SUM(E92:J92)</f>
        <v>1760</v>
      </c>
    </row>
    <row r="93" spans="2:12" ht="15" customHeight="1" thickBot="1" x14ac:dyDescent="0.3">
      <c r="L93" s="451"/>
    </row>
    <row r="94" spans="2:12" ht="15" customHeight="1" thickTop="1" x14ac:dyDescent="0.25">
      <c r="L94" s="448">
        <f>SUM(L90:L92)</f>
        <v>5280</v>
      </c>
    </row>
    <row r="96" spans="2:12" ht="15" customHeight="1" x14ac:dyDescent="0.25">
      <c r="C96" s="255" t="s">
        <v>611</v>
      </c>
      <c r="E96" s="260">
        <v>0</v>
      </c>
      <c r="F96" s="260">
        <v>0</v>
      </c>
      <c r="G96" s="260">
        <v>0</v>
      </c>
      <c r="H96" s="260">
        <v>0</v>
      </c>
      <c r="I96" s="445">
        <v>3</v>
      </c>
      <c r="J96" s="445">
        <v>7</v>
      </c>
    </row>
    <row r="98" spans="3:12" ht="15" customHeight="1" x14ac:dyDescent="0.25">
      <c r="C98" s="255" t="s">
        <v>614</v>
      </c>
      <c r="E98" s="260">
        <v>0</v>
      </c>
      <c r="F98" s="260">
        <v>0</v>
      </c>
      <c r="G98" s="260">
        <v>0</v>
      </c>
      <c r="H98" s="260">
        <v>0</v>
      </c>
      <c r="I98" s="445">
        <f>$I$96*4*$F$87</f>
        <v>120</v>
      </c>
      <c r="J98" s="445">
        <f>$J$96*4*$F$87</f>
        <v>280</v>
      </c>
      <c r="L98" s="445">
        <f>SUM(E98:J98)</f>
        <v>400</v>
      </c>
    </row>
    <row r="99" spans="3:12" ht="15" customHeight="1" x14ac:dyDescent="0.25">
      <c r="C99" s="255" t="s">
        <v>615</v>
      </c>
      <c r="E99" s="260">
        <v>0</v>
      </c>
      <c r="F99" s="260">
        <v>0</v>
      </c>
      <c r="G99" s="260">
        <v>0</v>
      </c>
      <c r="H99" s="260">
        <v>0</v>
      </c>
      <c r="I99" s="445">
        <f t="shared" ref="I99:I102" si="19">$I$96*4*$F$87</f>
        <v>120</v>
      </c>
      <c r="J99" s="445">
        <f t="shared" ref="J99:J102" si="20">$J$96*4*$F$87</f>
        <v>280</v>
      </c>
      <c r="L99" s="445">
        <f t="shared" ref="L99:L102" si="21">SUM(E99:J99)</f>
        <v>400</v>
      </c>
    </row>
    <row r="100" spans="3:12" ht="15" customHeight="1" x14ac:dyDescent="0.25">
      <c r="C100" s="255" t="s">
        <v>616</v>
      </c>
      <c r="E100" s="260">
        <v>0</v>
      </c>
      <c r="F100" s="260">
        <v>0</v>
      </c>
      <c r="G100" s="260">
        <v>0</v>
      </c>
      <c r="H100" s="260">
        <v>0</v>
      </c>
      <c r="I100" s="445">
        <f t="shared" si="19"/>
        <v>120</v>
      </c>
      <c r="J100" s="445">
        <f t="shared" si="20"/>
        <v>280</v>
      </c>
      <c r="L100" s="445">
        <f t="shared" si="21"/>
        <v>400</v>
      </c>
    </row>
    <row r="101" spans="3:12" ht="15" customHeight="1" x14ac:dyDescent="0.25">
      <c r="C101" s="255" t="s">
        <v>617</v>
      </c>
      <c r="E101" s="260">
        <v>0</v>
      </c>
      <c r="F101" s="260">
        <v>0</v>
      </c>
      <c r="G101" s="260">
        <v>0</v>
      </c>
      <c r="H101" s="260">
        <v>0</v>
      </c>
      <c r="I101" s="445">
        <f t="shared" si="19"/>
        <v>120</v>
      </c>
      <c r="J101" s="445">
        <f t="shared" si="20"/>
        <v>280</v>
      </c>
      <c r="L101" s="445">
        <f t="shared" si="21"/>
        <v>400</v>
      </c>
    </row>
    <row r="102" spans="3:12" ht="15" customHeight="1" x14ac:dyDescent="0.25">
      <c r="C102" s="255" t="s">
        <v>618</v>
      </c>
      <c r="E102" s="260">
        <v>0</v>
      </c>
      <c r="F102" s="260">
        <v>0</v>
      </c>
      <c r="G102" s="260">
        <v>0</v>
      </c>
      <c r="H102" s="260">
        <v>0</v>
      </c>
      <c r="I102" s="445">
        <f t="shared" si="19"/>
        <v>120</v>
      </c>
      <c r="J102" s="445">
        <f t="shared" si="20"/>
        <v>280</v>
      </c>
      <c r="L102" s="445">
        <f t="shared" si="21"/>
        <v>400</v>
      </c>
    </row>
    <row r="103" spans="3:12" ht="15" customHeight="1" thickBot="1" x14ac:dyDescent="0.3">
      <c r="L103" s="451"/>
    </row>
    <row r="104" spans="3:12" ht="15" customHeight="1" thickTop="1" x14ac:dyDescent="0.25">
      <c r="L104" s="448">
        <f>SUM(L98:L102)</f>
        <v>2000</v>
      </c>
    </row>
  </sheetData>
  <mergeCells count="2">
    <mergeCell ref="B2:C2"/>
    <mergeCell ref="B3:C3"/>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T35"/>
  <sheetViews>
    <sheetView tabSelected="1" zoomScale="70" zoomScaleNormal="70" workbookViewId="0">
      <selection activeCell="P13" sqref="P13"/>
    </sheetView>
  </sheetViews>
  <sheetFormatPr defaultColWidth="10.77734375" defaultRowHeight="16.95" customHeight="1" x14ac:dyDescent="0.25"/>
  <cols>
    <col min="1" max="1" width="3.33203125" style="417" customWidth="1"/>
    <col min="2" max="2" width="30.44140625" style="417" customWidth="1"/>
    <col min="3" max="3" width="3.33203125" style="417" customWidth="1"/>
    <col min="4" max="5" width="16.33203125" style="417" customWidth="1"/>
    <col min="6" max="7" width="16.33203125" style="418" customWidth="1"/>
    <col min="8" max="8" width="3.33203125" style="418" customWidth="1"/>
    <col min="9" max="9" width="35.33203125" style="418" customWidth="1"/>
    <col min="10" max="10" width="3.109375" style="419" customWidth="1"/>
    <col min="11" max="11" width="35.33203125" style="418" customWidth="1"/>
    <col min="12" max="12" width="3.109375" style="418" customWidth="1"/>
    <col min="13" max="13" width="38.33203125" style="418" customWidth="1"/>
    <col min="14" max="19" width="13.44140625" style="418" customWidth="1"/>
    <col min="20" max="20" width="10" style="420" customWidth="1"/>
    <col min="21" max="16384" width="10.77734375" style="418"/>
  </cols>
  <sheetData>
    <row r="1" spans="1:20" ht="16.95" customHeight="1" thickBot="1" x14ac:dyDescent="0.3"/>
    <row r="2" spans="1:20" ht="16.95" customHeight="1" thickBot="1" x14ac:dyDescent="0.3">
      <c r="B2" s="421" t="s">
        <v>348</v>
      </c>
      <c r="D2" s="506" t="s">
        <v>692</v>
      </c>
      <c r="E2" s="507"/>
      <c r="F2" s="507"/>
      <c r="G2" s="508"/>
      <c r="I2" s="500" t="s">
        <v>721</v>
      </c>
      <c r="J2" s="501"/>
      <c r="K2" s="501"/>
      <c r="L2" s="501"/>
      <c r="M2" s="502"/>
    </row>
    <row r="3" spans="1:20" ht="16.95" customHeight="1" thickBot="1" x14ac:dyDescent="0.3">
      <c r="B3" s="422" t="s">
        <v>682</v>
      </c>
      <c r="D3" s="509"/>
      <c r="E3" s="510"/>
      <c r="F3" s="510"/>
      <c r="G3" s="511"/>
      <c r="I3" s="503"/>
      <c r="J3" s="504"/>
      <c r="K3" s="504"/>
      <c r="L3" s="504"/>
      <c r="M3" s="505"/>
    </row>
    <row r="4" spans="1:20" s="419" customFormat="1" ht="16.95" customHeight="1" x14ac:dyDescent="0.25">
      <c r="A4" s="417"/>
      <c r="B4" s="415"/>
      <c r="C4" s="417"/>
      <c r="D4" s="417"/>
      <c r="E4" s="417"/>
      <c r="T4" s="424"/>
    </row>
    <row r="5" spans="1:20" ht="16.95" customHeight="1" thickBot="1" x14ac:dyDescent="0.3">
      <c r="B5" s="305" t="s">
        <v>517</v>
      </c>
      <c r="C5" s="5"/>
      <c r="D5" s="47">
        <v>0</v>
      </c>
      <c r="E5" s="47">
        <v>100</v>
      </c>
      <c r="F5" s="48">
        <v>200</v>
      </c>
      <c r="G5" s="48">
        <v>300</v>
      </c>
      <c r="I5" s="439"/>
      <c r="J5" s="417"/>
      <c r="K5" s="439"/>
      <c r="L5" s="439"/>
      <c r="M5" s="439"/>
    </row>
    <row r="6" spans="1:20" ht="16.95" customHeight="1" x14ac:dyDescent="0.25">
      <c r="B6" s="477" t="s">
        <v>675</v>
      </c>
      <c r="C6" s="14"/>
      <c r="D6" s="477" t="s">
        <v>336</v>
      </c>
      <c r="E6" s="477" t="s">
        <v>337</v>
      </c>
      <c r="F6" s="477" t="s">
        <v>338</v>
      </c>
      <c r="G6" s="477" t="s">
        <v>339</v>
      </c>
      <c r="I6" s="441" t="s">
        <v>676</v>
      </c>
      <c r="J6" s="435"/>
      <c r="K6" s="441" t="s">
        <v>677</v>
      </c>
      <c r="L6" s="440"/>
      <c r="M6" s="441" t="s">
        <v>678</v>
      </c>
    </row>
    <row r="7" spans="1:20" ht="16.95" customHeight="1" thickBot="1" x14ac:dyDescent="0.3">
      <c r="B7" s="478"/>
      <c r="C7" s="5"/>
      <c r="D7" s="478"/>
      <c r="E7" s="478"/>
      <c r="F7" s="478"/>
      <c r="G7" s="478"/>
      <c r="I7" s="417" t="s">
        <v>710</v>
      </c>
      <c r="J7" s="417"/>
      <c r="K7" s="439" t="s">
        <v>689</v>
      </c>
      <c r="L7" s="439"/>
      <c r="M7" s="438" t="s">
        <v>719</v>
      </c>
    </row>
    <row r="8" spans="1:20" ht="16.95" customHeight="1" x14ac:dyDescent="0.25">
      <c r="I8" s="417" t="s">
        <v>711</v>
      </c>
      <c r="J8" s="417"/>
      <c r="K8" s="439" t="s">
        <v>690</v>
      </c>
      <c r="L8" s="439"/>
      <c r="M8" s="428" t="s">
        <v>538</v>
      </c>
    </row>
    <row r="9" spans="1:20" ht="16.95" customHeight="1" x14ac:dyDescent="0.25">
      <c r="B9" s="431" t="s">
        <v>676</v>
      </c>
      <c r="D9" s="417">
        <v>100000</v>
      </c>
      <c r="E9" s="417">
        <v>100000</v>
      </c>
      <c r="F9" s="418">
        <v>100000</v>
      </c>
      <c r="G9" s="418">
        <v>0</v>
      </c>
      <c r="I9" s="417" t="s">
        <v>712</v>
      </c>
      <c r="J9" s="417"/>
      <c r="K9" s="439"/>
      <c r="L9" s="439"/>
      <c r="M9" s="428" t="s">
        <v>539</v>
      </c>
    </row>
    <row r="10" spans="1:20" ht="16.95" customHeight="1" x14ac:dyDescent="0.25">
      <c r="B10" s="431" t="s">
        <v>677</v>
      </c>
      <c r="D10" s="417">
        <v>75000</v>
      </c>
      <c r="E10" s="417">
        <v>75000</v>
      </c>
      <c r="F10" s="417">
        <v>75000</v>
      </c>
      <c r="G10" s="417">
        <v>75000</v>
      </c>
      <c r="I10" s="417" t="s">
        <v>529</v>
      </c>
      <c r="J10" s="417"/>
      <c r="K10" s="439"/>
      <c r="L10" s="439"/>
      <c r="M10" s="428" t="s">
        <v>720</v>
      </c>
    </row>
    <row r="11" spans="1:20" ht="16.95" customHeight="1" thickBot="1" x14ac:dyDescent="0.3">
      <c r="B11" s="431" t="s">
        <v>678</v>
      </c>
      <c r="D11" s="432">
        <v>100000</v>
      </c>
      <c r="E11" s="432">
        <v>100000</v>
      </c>
      <c r="F11" s="433">
        <v>0</v>
      </c>
      <c r="G11" s="433">
        <v>0</v>
      </c>
      <c r="I11" s="417" t="s">
        <v>713</v>
      </c>
      <c r="J11" s="417"/>
      <c r="K11" s="439"/>
      <c r="L11" s="439"/>
      <c r="M11" s="428" t="s">
        <v>540</v>
      </c>
    </row>
    <row r="12" spans="1:20" ht="16.95" customHeight="1" thickTop="1" x14ac:dyDescent="0.25">
      <c r="B12" s="431"/>
      <c r="D12" s="431">
        <f>SUM(D9:D11)</f>
        <v>275000</v>
      </c>
      <c r="E12" s="431">
        <f t="shared" ref="E12:G12" si="0">SUM(E9:E11)</f>
        <v>275000</v>
      </c>
      <c r="F12" s="431">
        <f t="shared" si="0"/>
        <v>175000</v>
      </c>
      <c r="G12" s="431">
        <f t="shared" si="0"/>
        <v>75000</v>
      </c>
      <c r="I12" s="439" t="s">
        <v>714</v>
      </c>
      <c r="J12" s="417"/>
      <c r="K12" s="439"/>
      <c r="L12" s="439"/>
      <c r="M12" s="428" t="s">
        <v>541</v>
      </c>
    </row>
    <row r="13" spans="1:20" ht="16.95" customHeight="1" x14ac:dyDescent="0.25">
      <c r="I13" s="439" t="s">
        <v>686</v>
      </c>
      <c r="J13" s="417"/>
      <c r="K13" s="439"/>
      <c r="L13" s="439"/>
      <c r="M13" s="418" t="s">
        <v>739</v>
      </c>
    </row>
    <row r="14" spans="1:20" ht="16.95" customHeight="1" x14ac:dyDescent="0.25">
      <c r="I14" s="439" t="s">
        <v>687</v>
      </c>
      <c r="J14" s="417"/>
      <c r="K14" s="439"/>
      <c r="L14" s="439"/>
      <c r="M14" s="439"/>
    </row>
    <row r="15" spans="1:20" ht="16.95" customHeight="1" x14ac:dyDescent="0.25">
      <c r="B15" s="431" t="s">
        <v>679</v>
      </c>
      <c r="D15" s="417">
        <v>50000</v>
      </c>
      <c r="E15" s="417">
        <v>0</v>
      </c>
      <c r="F15" s="418">
        <v>0</v>
      </c>
      <c r="G15" s="418">
        <v>0</v>
      </c>
      <c r="I15" s="439" t="s">
        <v>533</v>
      </c>
      <c r="J15" s="417"/>
      <c r="K15" s="439"/>
      <c r="L15" s="439"/>
      <c r="M15" s="439"/>
    </row>
    <row r="16" spans="1:20" ht="16.95" customHeight="1" x14ac:dyDescent="0.25">
      <c r="B16" s="431" t="s">
        <v>680</v>
      </c>
      <c r="D16" s="417">
        <v>25000</v>
      </c>
      <c r="E16" s="417">
        <v>25000</v>
      </c>
      <c r="F16" s="417">
        <v>25000</v>
      </c>
      <c r="G16" s="417">
        <v>25000</v>
      </c>
      <c r="I16" s="439" t="s">
        <v>534</v>
      </c>
      <c r="J16" s="417"/>
      <c r="K16" s="439"/>
      <c r="L16" s="439"/>
      <c r="M16" s="439"/>
    </row>
    <row r="17" spans="1:20" ht="16.95" customHeight="1" thickBot="1" x14ac:dyDescent="0.3">
      <c r="B17" s="431" t="s">
        <v>681</v>
      </c>
      <c r="D17" s="432">
        <v>50000</v>
      </c>
      <c r="E17" s="432">
        <v>0</v>
      </c>
      <c r="F17" s="433">
        <v>0</v>
      </c>
      <c r="G17" s="433">
        <v>0</v>
      </c>
      <c r="I17" s="438" t="s">
        <v>535</v>
      </c>
      <c r="J17" s="417"/>
      <c r="K17" s="439"/>
      <c r="L17" s="439"/>
      <c r="M17" s="439"/>
    </row>
    <row r="18" spans="1:20" ht="16.95" customHeight="1" thickTop="1" x14ac:dyDescent="0.25">
      <c r="D18" s="431">
        <f>SUM(D15:D17)</f>
        <v>125000</v>
      </c>
      <c r="E18" s="431">
        <f t="shared" ref="E18" si="1">SUM(E15:E17)</f>
        <v>25000</v>
      </c>
      <c r="F18" s="431">
        <f t="shared" ref="F18" si="2">SUM(F15:F17)</f>
        <v>25000</v>
      </c>
      <c r="G18" s="431">
        <f t="shared" ref="G18" si="3">SUM(G15:G17)</f>
        <v>25000</v>
      </c>
      <c r="I18" s="438" t="s">
        <v>536</v>
      </c>
      <c r="J18" s="417"/>
      <c r="K18" s="439"/>
      <c r="L18" s="439"/>
      <c r="M18" s="439"/>
    </row>
    <row r="19" spans="1:20" s="232" customFormat="1" ht="16.95" customHeight="1" x14ac:dyDescent="0.25">
      <c r="I19" s="438" t="s">
        <v>688</v>
      </c>
      <c r="T19" s="436"/>
    </row>
    <row r="20" spans="1:20" s="232" customFormat="1" ht="16.95" customHeight="1" x14ac:dyDescent="0.25">
      <c r="B20" s="429" t="s">
        <v>473</v>
      </c>
      <c r="D20" s="429">
        <f>D18+D12</f>
        <v>400000</v>
      </c>
      <c r="E20" s="429">
        <f>E18+E12</f>
        <v>300000</v>
      </c>
      <c r="F20" s="429">
        <f>F18+F12</f>
        <v>200000</v>
      </c>
      <c r="G20" s="429">
        <f>G18+G12</f>
        <v>100000</v>
      </c>
      <c r="I20" s="438" t="s">
        <v>537</v>
      </c>
      <c r="T20" s="436"/>
    </row>
    <row r="21" spans="1:20" s="232" customFormat="1" ht="16.95" customHeight="1" x14ac:dyDescent="0.25">
      <c r="G21" s="429"/>
      <c r="H21" s="429"/>
      <c r="T21" s="436"/>
    </row>
    <row r="22" spans="1:20" s="232" customFormat="1" ht="16.95" customHeight="1" x14ac:dyDescent="0.25">
      <c r="G22" s="429"/>
      <c r="H22" s="429"/>
      <c r="T22" s="436"/>
    </row>
    <row r="23" spans="1:20" s="232" customFormat="1" ht="16.95" customHeight="1" x14ac:dyDescent="0.25">
      <c r="B23" s="467" t="s">
        <v>709</v>
      </c>
      <c r="C23" s="467"/>
      <c r="D23" s="467">
        <v>50000</v>
      </c>
      <c r="E23" s="467">
        <v>0</v>
      </c>
      <c r="F23" s="467">
        <v>0</v>
      </c>
      <c r="G23" s="468">
        <v>0</v>
      </c>
      <c r="H23" s="429"/>
      <c r="T23" s="436"/>
    </row>
    <row r="24" spans="1:20" s="232" customFormat="1" ht="16.95" customHeight="1" x14ac:dyDescent="0.25">
      <c r="B24" s="467" t="s">
        <v>740</v>
      </c>
      <c r="D24" s="499" t="s">
        <v>741</v>
      </c>
      <c r="E24" s="499"/>
      <c r="F24" s="499"/>
      <c r="G24" s="499"/>
      <c r="H24" s="429"/>
      <c r="T24" s="436"/>
    </row>
    <row r="25" spans="1:20" s="232" customFormat="1" ht="16.95" customHeight="1" x14ac:dyDescent="0.25">
      <c r="D25" s="438"/>
      <c r="G25" s="429"/>
      <c r="I25" s="441" t="s">
        <v>679</v>
      </c>
      <c r="J25" s="435"/>
      <c r="K25" s="441" t="s">
        <v>680</v>
      </c>
      <c r="L25" s="440"/>
      <c r="M25" s="441" t="s">
        <v>681</v>
      </c>
      <c r="T25" s="436"/>
    </row>
    <row r="26" spans="1:20" s="232" customFormat="1" ht="16.95" customHeight="1" x14ac:dyDescent="0.25">
      <c r="I26" s="232" t="s">
        <v>532</v>
      </c>
      <c r="K26" s="438" t="s">
        <v>690</v>
      </c>
      <c r="M26" s="438" t="s">
        <v>715</v>
      </c>
      <c r="T26" s="436"/>
    </row>
    <row r="27" spans="1:20" s="232" customFormat="1" ht="16.95" customHeight="1" x14ac:dyDescent="0.25">
      <c r="A27" s="437"/>
      <c r="B27" s="437"/>
      <c r="C27" s="437"/>
      <c r="D27" s="437"/>
      <c r="F27" s="437"/>
      <c r="G27" s="437"/>
      <c r="H27" s="437"/>
      <c r="I27" s="232" t="s">
        <v>530</v>
      </c>
      <c r="M27" s="438" t="s">
        <v>716</v>
      </c>
      <c r="N27" s="437"/>
      <c r="O27" s="437"/>
      <c r="P27" s="437"/>
      <c r="Q27" s="437"/>
      <c r="S27" s="437"/>
      <c r="T27" s="437"/>
    </row>
    <row r="28" spans="1:20" s="232" customFormat="1" ht="16.95" customHeight="1" x14ac:dyDescent="0.25">
      <c r="A28" s="437"/>
      <c r="B28" s="437"/>
      <c r="C28" s="437"/>
      <c r="D28" s="437"/>
      <c r="F28" s="437"/>
      <c r="G28" s="437"/>
      <c r="H28" s="437"/>
      <c r="I28" s="232" t="s">
        <v>531</v>
      </c>
      <c r="M28" s="438" t="s">
        <v>717</v>
      </c>
      <c r="N28" s="437"/>
      <c r="O28" s="437"/>
      <c r="P28" s="437"/>
      <c r="Q28" s="437"/>
      <c r="S28" s="437"/>
      <c r="T28" s="437"/>
    </row>
    <row r="29" spans="1:20" s="232" customFormat="1" ht="16.95" customHeight="1" x14ac:dyDescent="0.25">
      <c r="M29" s="438" t="s">
        <v>718</v>
      </c>
      <c r="T29" s="436"/>
    </row>
    <row r="30" spans="1:20" s="417" customFormat="1" ht="16.95" customHeight="1" x14ac:dyDescent="0.25">
      <c r="I30" s="232"/>
      <c r="J30" s="232"/>
      <c r="K30" s="232"/>
      <c r="L30" s="232"/>
      <c r="M30" s="438" t="s">
        <v>685</v>
      </c>
      <c r="T30" s="430"/>
    </row>
    <row r="31" spans="1:20" s="417" customFormat="1" ht="16.95" customHeight="1" x14ac:dyDescent="0.25">
      <c r="I31" s="232"/>
      <c r="J31" s="232"/>
      <c r="K31" s="232"/>
      <c r="L31" s="232"/>
      <c r="M31" s="438" t="s">
        <v>691</v>
      </c>
      <c r="T31" s="430"/>
    </row>
    <row r="32" spans="1:20" s="417" customFormat="1" ht="16.95" customHeight="1" x14ac:dyDescent="0.25">
      <c r="I32" s="453"/>
      <c r="J32" s="429"/>
      <c r="K32" s="429"/>
      <c r="L32" s="429"/>
      <c r="M32" s="438" t="s">
        <v>738</v>
      </c>
      <c r="T32" s="430"/>
    </row>
    <row r="33" spans="1:20" s="417" customFormat="1" ht="16.95" customHeight="1" x14ac:dyDescent="0.25">
      <c r="A33" s="434"/>
      <c r="B33" s="423"/>
      <c r="C33" s="423"/>
      <c r="D33" s="423"/>
      <c r="F33" s="434"/>
      <c r="G33" s="434"/>
      <c r="H33" s="434"/>
      <c r="I33" s="232"/>
      <c r="J33" s="232"/>
      <c r="K33" s="232"/>
      <c r="L33" s="232"/>
      <c r="M33" s="232"/>
      <c r="N33" s="434"/>
      <c r="O33" s="434"/>
      <c r="P33" s="434"/>
      <c r="Q33" s="434"/>
      <c r="S33" s="423"/>
      <c r="T33" s="423"/>
    </row>
    <row r="34" spans="1:20" s="417" customFormat="1" ht="16.95" customHeight="1" x14ac:dyDescent="0.25">
      <c r="A34" s="423"/>
      <c r="B34" s="423"/>
      <c r="C34" s="423"/>
      <c r="D34" s="423"/>
      <c r="F34" s="423"/>
      <c r="G34" s="423"/>
      <c r="H34" s="423"/>
      <c r="I34" s="437"/>
      <c r="J34" s="437"/>
      <c r="K34" s="437"/>
      <c r="L34" s="437"/>
      <c r="M34" s="437"/>
      <c r="N34" s="423"/>
      <c r="O34" s="423"/>
      <c r="P34" s="423"/>
      <c r="Q34" s="423"/>
      <c r="S34" s="423"/>
      <c r="T34" s="423"/>
    </row>
    <row r="35" spans="1:20" s="417" customFormat="1" ht="16.95" customHeight="1" x14ac:dyDescent="0.25">
      <c r="A35" s="425"/>
      <c r="B35" s="425"/>
      <c r="C35" s="426"/>
      <c r="D35" s="426"/>
      <c r="J35" s="427"/>
      <c r="T35" s="430"/>
    </row>
  </sheetData>
  <mergeCells count="8">
    <mergeCell ref="D24:G24"/>
    <mergeCell ref="I2:M3"/>
    <mergeCell ref="B6:B7"/>
    <mergeCell ref="D2:G3"/>
    <mergeCell ref="E6:E7"/>
    <mergeCell ref="F6:F7"/>
    <mergeCell ref="G6:G7"/>
    <mergeCell ref="D6:D7"/>
  </mergeCells>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30"/>
  <sheetViews>
    <sheetView workbookViewId="0"/>
  </sheetViews>
  <sheetFormatPr defaultColWidth="8.77734375" defaultRowHeight="15" customHeight="1" x14ac:dyDescent="0.25"/>
  <cols>
    <col min="1" max="1" width="6.33203125" style="348" customWidth="1"/>
    <col min="2" max="2" width="40.77734375" style="325" bestFit="1" customWidth="1"/>
    <col min="3" max="3" width="2" style="325" customWidth="1"/>
    <col min="4" max="7" width="15" style="325" customWidth="1"/>
    <col min="8" max="8" width="5.77734375" style="325" customWidth="1"/>
    <col min="9" max="9" width="22.44140625" style="325" bestFit="1" customWidth="1"/>
    <col min="10" max="10" width="11.6640625" style="325" customWidth="1"/>
    <col min="11" max="16384" width="8.77734375" style="325"/>
  </cols>
  <sheetData>
    <row r="1" spans="1:13" ht="15" customHeight="1" x14ac:dyDescent="0.25">
      <c r="A1" s="324"/>
      <c r="C1" s="326"/>
      <c r="H1" s="325" t="s">
        <v>16</v>
      </c>
    </row>
    <row r="2" spans="1:13" ht="15" customHeight="1" x14ac:dyDescent="0.25">
      <c r="A2" s="327"/>
      <c r="B2" s="328" t="s">
        <v>348</v>
      </c>
      <c r="C2" s="329"/>
      <c r="D2" s="512" t="s">
        <v>570</v>
      </c>
      <c r="E2" s="512"/>
      <c r="F2" s="512"/>
      <c r="G2" s="512"/>
      <c r="H2" s="330"/>
      <c r="I2" s="513" t="s">
        <v>542</v>
      </c>
      <c r="J2" s="513"/>
    </row>
    <row r="3" spans="1:13" ht="15" customHeight="1" x14ac:dyDescent="0.25">
      <c r="A3" s="331"/>
      <c r="B3" s="146"/>
      <c r="C3" s="146"/>
      <c r="D3" s="514" t="s">
        <v>571</v>
      </c>
      <c r="E3" s="514"/>
      <c r="F3" s="514"/>
      <c r="G3" s="514"/>
      <c r="H3" s="146"/>
    </row>
    <row r="4" spans="1:13" ht="15" customHeight="1" x14ac:dyDescent="0.25">
      <c r="A4" s="332"/>
      <c r="B4" s="333" t="s">
        <v>543</v>
      </c>
      <c r="C4" s="332"/>
      <c r="D4" s="334" t="s">
        <v>544</v>
      </c>
      <c r="E4" s="334" t="s">
        <v>545</v>
      </c>
      <c r="F4" s="334" t="s">
        <v>546</v>
      </c>
      <c r="G4" s="334" t="s">
        <v>572</v>
      </c>
      <c r="H4" s="332"/>
      <c r="I4" s="335" t="s">
        <v>341</v>
      </c>
      <c r="J4" s="336">
        <v>6500</v>
      </c>
    </row>
    <row r="5" spans="1:13" ht="15" customHeight="1" x14ac:dyDescent="0.25">
      <c r="A5" s="332"/>
      <c r="B5" s="337" t="s">
        <v>547</v>
      </c>
      <c r="C5" s="332"/>
      <c r="D5" s="338" t="s">
        <v>334</v>
      </c>
      <c r="E5" s="338" t="s">
        <v>224</v>
      </c>
      <c r="F5" s="339" t="s">
        <v>259</v>
      </c>
      <c r="G5" s="339" t="s">
        <v>258</v>
      </c>
      <c r="H5" s="332"/>
      <c r="I5" s="335" t="s">
        <v>548</v>
      </c>
      <c r="J5" s="340">
        <v>0.25</v>
      </c>
    </row>
    <row r="6" spans="1:13" ht="15" customHeight="1" x14ac:dyDescent="0.25">
      <c r="A6" s="332"/>
      <c r="B6" s="332"/>
      <c r="C6" s="332"/>
      <c r="H6" s="332"/>
      <c r="I6" s="335" t="s">
        <v>549</v>
      </c>
      <c r="J6" s="340">
        <v>0.25</v>
      </c>
      <c r="L6" s="408" t="s">
        <v>660</v>
      </c>
      <c r="M6" s="409"/>
    </row>
    <row r="7" spans="1:13" ht="15" customHeight="1" x14ac:dyDescent="0.25">
      <c r="A7" s="331"/>
      <c r="B7" s="341" t="s">
        <v>550</v>
      </c>
      <c r="C7" s="146"/>
      <c r="D7" s="342">
        <v>0</v>
      </c>
      <c r="E7" s="342">
        <v>100</v>
      </c>
      <c r="F7" s="342">
        <v>200</v>
      </c>
      <c r="G7" s="342">
        <v>300</v>
      </c>
      <c r="I7" s="335" t="s">
        <v>551</v>
      </c>
      <c r="J7" s="343">
        <v>0.5</v>
      </c>
      <c r="L7" s="410"/>
      <c r="M7" s="411"/>
    </row>
    <row r="8" spans="1:13" ht="15" customHeight="1" x14ac:dyDescent="0.25">
      <c r="A8" s="344"/>
      <c r="B8" s="146"/>
      <c r="C8" s="327"/>
      <c r="I8" s="335" t="s">
        <v>552</v>
      </c>
      <c r="J8" s="336">
        <v>419</v>
      </c>
      <c r="L8" s="411"/>
      <c r="M8" s="411"/>
    </row>
    <row r="9" spans="1:13" ht="15" customHeight="1" x14ac:dyDescent="0.25">
      <c r="A9" s="331"/>
      <c r="B9" s="345" t="s">
        <v>553</v>
      </c>
      <c r="C9" s="146"/>
      <c r="D9" s="346"/>
      <c r="E9" s="346"/>
      <c r="F9" s="347"/>
      <c r="G9" s="347"/>
      <c r="I9" s="335" t="s">
        <v>554</v>
      </c>
      <c r="J9" s="340">
        <v>1</v>
      </c>
      <c r="L9" s="411"/>
      <c r="M9" s="411"/>
    </row>
    <row r="10" spans="1:13" ht="15" customHeight="1" x14ac:dyDescent="0.25">
      <c r="A10" s="331"/>
      <c r="B10" s="146" t="s">
        <v>555</v>
      </c>
      <c r="C10" s="146"/>
      <c r="D10" s="46">
        <f>D7*$J$4</f>
        <v>0</v>
      </c>
      <c r="E10" s="46">
        <f>E7*$J$4</f>
        <v>650000</v>
      </c>
      <c r="F10" s="46">
        <f>F7*$J$4</f>
        <v>1300000</v>
      </c>
      <c r="G10" s="46">
        <f>G7*$J$4</f>
        <v>1950000</v>
      </c>
      <c r="I10" s="335" t="s">
        <v>556</v>
      </c>
      <c r="J10" s="336">
        <f>SUM(D14:G14)</f>
        <v>0</v>
      </c>
    </row>
    <row r="11" spans="1:13" ht="15" customHeight="1" x14ac:dyDescent="0.25">
      <c r="A11" s="331"/>
      <c r="B11" s="146" t="s">
        <v>557</v>
      </c>
      <c r="C11" s="146"/>
      <c r="D11" s="46">
        <f>(D7*$J$8*($J$5+$J$6))</f>
        <v>0</v>
      </c>
      <c r="E11" s="46">
        <f>(E7*$J$8*($J$5+$J$6))</f>
        <v>20950</v>
      </c>
      <c r="F11" s="46">
        <f>(F7*$J$8*($J$5+$J$6))</f>
        <v>41900</v>
      </c>
      <c r="G11" s="46">
        <f>(G7*$J$8*($J$5+$J$6))</f>
        <v>62850</v>
      </c>
    </row>
    <row r="12" spans="1:13" ht="15" customHeight="1" x14ac:dyDescent="0.25">
      <c r="A12" s="331"/>
      <c r="B12" s="146" t="s">
        <v>558</v>
      </c>
      <c r="C12" s="146"/>
      <c r="D12" s="293">
        <v>0</v>
      </c>
      <c r="E12" s="46"/>
      <c r="F12" s="46"/>
      <c r="G12" s="46"/>
    </row>
    <row r="13" spans="1:13" ht="15" customHeight="1" x14ac:dyDescent="0.25">
      <c r="B13" s="146" t="s">
        <v>559</v>
      </c>
      <c r="C13" s="146"/>
      <c r="D13" s="46">
        <v>400000</v>
      </c>
      <c r="E13" s="46">
        <v>300000</v>
      </c>
      <c r="F13" s="46">
        <v>200000</v>
      </c>
      <c r="G13" s="46">
        <v>100000</v>
      </c>
    </row>
    <row r="14" spans="1:13" ht="15" customHeight="1" x14ac:dyDescent="0.25">
      <c r="B14" s="146" t="s">
        <v>556</v>
      </c>
      <c r="C14" s="146"/>
      <c r="D14" s="46">
        <f>IF(D20&lt;0,D20,0)</f>
        <v>0</v>
      </c>
      <c r="E14" s="46">
        <f>IF(E20&lt;0,E20,0)</f>
        <v>0</v>
      </c>
      <c r="F14" s="46">
        <f>IF(F20&lt;0,F20,0)</f>
        <v>0</v>
      </c>
      <c r="G14" s="46">
        <f>IF(G20&lt;0,G20,0)</f>
        <v>0</v>
      </c>
    </row>
    <row r="15" spans="1:13" s="326" customFormat="1" ht="15" customHeight="1" thickBot="1" x14ac:dyDescent="0.3">
      <c r="A15" s="348"/>
      <c r="B15" s="146"/>
      <c r="C15" s="146"/>
      <c r="D15" s="349"/>
      <c r="E15" s="349"/>
      <c r="F15" s="349"/>
      <c r="G15" s="349"/>
    </row>
    <row r="16" spans="1:13" ht="15" customHeight="1" thickBot="1" x14ac:dyDescent="0.3">
      <c r="A16" s="331"/>
      <c r="B16" s="341" t="s">
        <v>21</v>
      </c>
      <c r="C16" s="146"/>
      <c r="D16" s="350">
        <f>SUM(D10:D13)</f>
        <v>400000</v>
      </c>
      <c r="E16" s="350">
        <f>SUM(E10:E13)</f>
        <v>970950</v>
      </c>
      <c r="F16" s="350">
        <f>SUM(F10:F13)</f>
        <v>1541900</v>
      </c>
      <c r="G16" s="350">
        <f>SUM(G10:G13)</f>
        <v>2112850</v>
      </c>
    </row>
    <row r="17" spans="1:7" ht="15" customHeight="1" thickBot="1" x14ac:dyDescent="0.3">
      <c r="A17" s="351"/>
      <c r="B17" s="341" t="s">
        <v>560</v>
      </c>
      <c r="C17" s="146"/>
      <c r="D17" s="352"/>
      <c r="E17" s="353"/>
      <c r="F17" s="354"/>
      <c r="G17" s="355"/>
    </row>
    <row r="18" spans="1:7" ht="15" customHeight="1" thickBot="1" x14ac:dyDescent="0.3">
      <c r="A18" s="351"/>
      <c r="B18" s="341" t="s">
        <v>561</v>
      </c>
      <c r="C18" s="146"/>
      <c r="D18" s="356"/>
      <c r="E18" s="357"/>
      <c r="F18" s="357"/>
      <c r="G18" s="358"/>
    </row>
    <row r="19" spans="1:7" ht="15" customHeight="1" x14ac:dyDescent="0.25">
      <c r="A19" s="351"/>
      <c r="C19" s="146"/>
      <c r="D19" s="359"/>
      <c r="E19" s="359"/>
      <c r="F19" s="359"/>
      <c r="G19" s="359"/>
    </row>
    <row r="20" spans="1:7" ht="15" customHeight="1" x14ac:dyDescent="0.25">
      <c r="A20" s="351"/>
      <c r="B20" s="341" t="s">
        <v>562</v>
      </c>
      <c r="C20" s="146"/>
      <c r="D20" s="359">
        <f>D16-D17</f>
        <v>400000</v>
      </c>
      <c r="E20" s="359">
        <f>E16-E17</f>
        <v>970950</v>
      </c>
      <c r="F20" s="359">
        <f>F16-F17</f>
        <v>1541900</v>
      </c>
      <c r="G20" s="359">
        <f>G16-G17</f>
        <v>2112850</v>
      </c>
    </row>
    <row r="21" spans="1:7" ht="15" customHeight="1" x14ac:dyDescent="0.25">
      <c r="A21" s="351"/>
      <c r="B21" s="341"/>
      <c r="C21" s="146"/>
      <c r="D21" s="359"/>
      <c r="E21" s="359"/>
      <c r="F21" s="359"/>
      <c r="G21" s="359"/>
    </row>
    <row r="22" spans="1:7" ht="15" customHeight="1" x14ac:dyDescent="0.25">
      <c r="A22" s="351"/>
      <c r="B22" s="341" t="s">
        <v>563</v>
      </c>
      <c r="C22" s="146"/>
      <c r="D22" s="360">
        <v>0</v>
      </c>
      <c r="E22" s="361" t="e">
        <f>SUM(E10:E12)/E17</f>
        <v>#DIV/0!</v>
      </c>
      <c r="F22" s="361" t="e">
        <f>SUM(F10:F12)/F17</f>
        <v>#DIV/0!</v>
      </c>
      <c r="G22" s="361" t="e">
        <f>SUM(G10:G12)/G17</f>
        <v>#DIV/0!</v>
      </c>
    </row>
    <row r="23" spans="1:7" ht="15" customHeight="1" x14ac:dyDescent="0.25">
      <c r="A23" s="351"/>
      <c r="B23" s="341" t="s">
        <v>564</v>
      </c>
      <c r="C23" s="146"/>
      <c r="D23" s="360">
        <f>D17-SUM(D10:D12)</f>
        <v>0</v>
      </c>
      <c r="E23" s="360">
        <f>E17-SUM(E10:E12)</f>
        <v>-670950</v>
      </c>
      <c r="F23" s="360">
        <f>F17-SUM(F10:F12)</f>
        <v>-1341900</v>
      </c>
      <c r="G23" s="360">
        <v>0</v>
      </c>
    </row>
    <row r="24" spans="1:7" ht="15" customHeight="1" x14ac:dyDescent="0.25">
      <c r="A24" s="351"/>
      <c r="B24" s="341"/>
      <c r="C24" s="146"/>
      <c r="D24" s="359"/>
      <c r="E24" s="359"/>
      <c r="F24" s="359"/>
      <c r="G24" s="359"/>
    </row>
    <row r="25" spans="1:7" ht="15" customHeight="1" x14ac:dyDescent="0.25">
      <c r="A25" s="351"/>
      <c r="B25" s="341" t="s">
        <v>565</v>
      </c>
      <c r="C25" s="146"/>
      <c r="D25" s="359"/>
      <c r="E25" s="359"/>
      <c r="F25" s="359"/>
      <c r="G25" s="359"/>
    </row>
    <row r="26" spans="1:7" ht="15" customHeight="1" x14ac:dyDescent="0.25">
      <c r="A26" s="351"/>
      <c r="B26" s="146" t="s">
        <v>566</v>
      </c>
      <c r="C26" s="146"/>
      <c r="D26" s="362">
        <v>0</v>
      </c>
      <c r="E26" s="362">
        <v>100</v>
      </c>
      <c r="F26" s="362">
        <v>200</v>
      </c>
      <c r="G26" s="362">
        <v>300</v>
      </c>
    </row>
    <row r="27" spans="1:7" ht="15" customHeight="1" x14ac:dyDescent="0.25">
      <c r="B27" s="325" t="s">
        <v>567</v>
      </c>
      <c r="D27" s="363">
        <v>0</v>
      </c>
      <c r="E27" s="363">
        <v>85</v>
      </c>
      <c r="F27" s="363">
        <v>173</v>
      </c>
      <c r="G27" s="363">
        <v>221</v>
      </c>
    </row>
    <row r="28" spans="1:7" ht="15" customHeight="1" x14ac:dyDescent="0.25">
      <c r="B28" s="325" t="s">
        <v>568</v>
      </c>
      <c r="D28" s="363">
        <f>D26-D27</f>
        <v>0</v>
      </c>
      <c r="E28" s="363">
        <f>E26-E27</f>
        <v>15</v>
      </c>
      <c r="F28" s="363">
        <f>F26-F27</f>
        <v>27</v>
      </c>
      <c r="G28" s="363">
        <f>G26-G27</f>
        <v>79</v>
      </c>
    </row>
    <row r="29" spans="1:7" ht="15" customHeight="1" x14ac:dyDescent="0.25">
      <c r="B29" s="325" t="s">
        <v>569</v>
      </c>
      <c r="D29" s="364">
        <v>0</v>
      </c>
      <c r="E29" s="364">
        <v>131</v>
      </c>
      <c r="F29" s="364">
        <v>207</v>
      </c>
      <c r="G29" s="364">
        <v>281</v>
      </c>
    </row>
    <row r="30" spans="1:7" ht="15" customHeight="1" x14ac:dyDescent="0.25">
      <c r="B30" s="365"/>
      <c r="D30" s="364"/>
      <c r="E30" s="366"/>
      <c r="F30" s="364"/>
      <c r="G30" s="364"/>
    </row>
  </sheetData>
  <mergeCells count="3">
    <mergeCell ref="D2:G2"/>
    <mergeCell ref="I2:J2"/>
    <mergeCell ref="D3:G3"/>
  </mergeCells>
  <conditionalFormatting sqref="D20">
    <cfRule type="cellIs" dxfId="3" priority="3" operator="lessThan">
      <formula>0</formula>
    </cfRule>
    <cfRule type="cellIs" dxfId="2" priority="4" operator="greaterThan">
      <formula>0</formula>
    </cfRule>
  </conditionalFormatting>
  <conditionalFormatting sqref="E20:G20">
    <cfRule type="cellIs" dxfId="1" priority="1" operator="lessThan">
      <formula>0</formula>
    </cfRule>
    <cfRule type="cellIs" dxfId="0" priority="2" operator="greaterThan">
      <formula>0</formula>
    </cfRule>
  </conditionalFormatting>
  <pageMargins left="0.75" right="0.75" top="0.49" bottom="0.47" header="0.25" footer="0.32"/>
  <pageSetup orientation="landscape"/>
  <headerFooter>
    <oddHeader>&amp;R&amp;"Arial,Bold"Page &amp;P</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AE262"/>
  <sheetViews>
    <sheetView zoomScale="50" zoomScaleNormal="50" zoomScaleSheetLayoutView="50" workbookViewId="0">
      <selection activeCell="Z18" sqref="Z18"/>
    </sheetView>
  </sheetViews>
  <sheetFormatPr defaultColWidth="8.109375" defaultRowHeight="16.95" customHeight="1" outlineLevelRow="1" outlineLevelCol="1" x14ac:dyDescent="0.25"/>
  <cols>
    <col min="1" max="1" width="2.6640625" style="63" customWidth="1"/>
    <col min="2" max="2" width="5.77734375" style="118" customWidth="1"/>
    <col min="3" max="3" width="39.109375" style="63" bestFit="1" customWidth="1"/>
    <col min="4" max="4" width="3" style="63" customWidth="1"/>
    <col min="5" max="5" width="13.109375" style="137" customWidth="1"/>
    <col min="6" max="6" width="6.77734375" style="281" customWidth="1"/>
    <col min="7" max="7" width="13.109375" style="137" customWidth="1"/>
    <col min="8" max="8" width="6.77734375" style="282" customWidth="1"/>
    <col min="9" max="9" width="13.109375" style="137" customWidth="1"/>
    <col min="10" max="10" width="6.77734375" style="282" customWidth="1"/>
    <col min="11" max="11" width="13.109375" style="137" customWidth="1"/>
    <col min="12" max="12" width="6.77734375" style="281" customWidth="1"/>
    <col min="13" max="13" width="1.33203125" style="63" hidden="1" customWidth="1"/>
    <col min="14" max="14" width="3" style="63" customWidth="1"/>
    <col min="15" max="15" width="5.33203125" style="61" customWidth="1"/>
    <col min="16" max="16" width="9.44140625" style="63" hidden="1" customWidth="1"/>
    <col min="17" max="17" width="2.44140625" style="110" hidden="1" customWidth="1"/>
    <col min="18" max="18" width="126.6640625" style="111" hidden="1" customWidth="1"/>
    <col min="19" max="19" width="10.44140625" style="110" hidden="1" customWidth="1"/>
    <col min="20" max="20" width="84.109375" style="101" customWidth="1"/>
    <col min="21" max="21" width="8.109375" style="110"/>
    <col min="22" max="22" width="8.109375" style="63"/>
    <col min="23" max="23" width="8.109375" style="110"/>
    <col min="24" max="24" width="8.109375" style="63"/>
    <col min="25" max="25" width="8.109375" style="110"/>
    <col min="26" max="26" width="8.109375" style="63"/>
    <col min="27" max="27" width="8.109375" style="105" outlineLevel="1"/>
    <col min="28" max="28" width="8.109375" style="108" outlineLevel="1"/>
    <col min="29" max="29" width="8.109375" style="63" outlineLevel="1"/>
    <col min="30" max="30" width="8.109375" style="112"/>
    <col min="31" max="31" width="8.109375" style="67"/>
    <col min="32" max="16384" width="8.109375" style="63"/>
  </cols>
  <sheetData>
    <row r="1" spans="1:31" ht="16.95" customHeight="1" thickBot="1" x14ac:dyDescent="0.3">
      <c r="A1" s="58"/>
      <c r="B1" s="116"/>
      <c r="C1" s="59"/>
      <c r="D1" s="60"/>
      <c r="E1" s="39"/>
      <c r="F1" s="283"/>
      <c r="G1" s="39"/>
      <c r="H1" s="270"/>
      <c r="I1" s="39"/>
      <c r="J1" s="270"/>
      <c r="K1" s="144"/>
      <c r="L1" s="283"/>
      <c r="M1" s="60"/>
      <c r="N1" s="60"/>
      <c r="Q1" s="61"/>
      <c r="R1" s="62" t="s">
        <v>254</v>
      </c>
      <c r="S1" s="61"/>
      <c r="U1" s="61"/>
      <c r="W1" s="61"/>
      <c r="X1" s="58"/>
      <c r="Y1" s="61"/>
      <c r="Z1" s="58"/>
      <c r="AA1" s="64"/>
      <c r="AB1" s="65"/>
      <c r="AC1" s="58"/>
      <c r="AD1" s="66"/>
    </row>
    <row r="2" spans="1:31" ht="16.95" customHeight="1" thickBot="1" x14ac:dyDescent="0.3">
      <c r="B2" s="6" t="s">
        <v>0</v>
      </c>
      <c r="C2" s="123" t="s">
        <v>348</v>
      </c>
      <c r="D2" s="58"/>
      <c r="E2" s="131"/>
      <c r="F2" s="280"/>
      <c r="G2" s="131"/>
      <c r="H2" s="271"/>
      <c r="I2" s="131"/>
      <c r="J2" s="271"/>
      <c r="K2" s="485"/>
      <c r="L2" s="485"/>
      <c r="M2" s="58"/>
      <c r="N2" s="58"/>
      <c r="P2" s="58"/>
      <c r="Q2" s="61"/>
      <c r="R2" s="68" t="s">
        <v>253</v>
      </c>
      <c r="S2" s="61"/>
      <c r="T2" s="72"/>
      <c r="U2" s="61"/>
      <c r="V2" s="58"/>
      <c r="W2" s="61"/>
      <c r="X2" s="58"/>
      <c r="Y2" s="61"/>
      <c r="Z2" s="58"/>
      <c r="AA2" s="64"/>
      <c r="AB2" s="65"/>
      <c r="AC2" s="58"/>
      <c r="AD2" s="66"/>
    </row>
    <row r="3" spans="1:31" ht="16.95" customHeight="1" x14ac:dyDescent="0.25">
      <c r="B3" s="6"/>
      <c r="C3" s="120" t="s">
        <v>47</v>
      </c>
      <c r="D3" s="58"/>
      <c r="E3" s="131"/>
      <c r="F3" s="280"/>
      <c r="G3" s="131"/>
      <c r="H3" s="271"/>
      <c r="I3" s="131"/>
      <c r="J3" s="271"/>
      <c r="K3" s="147"/>
      <c r="L3" s="283"/>
      <c r="M3" s="58"/>
      <c r="N3" s="58"/>
      <c r="P3" s="58"/>
      <c r="Q3" s="61"/>
      <c r="R3" s="68"/>
      <c r="S3" s="61"/>
      <c r="T3" s="72"/>
      <c r="U3" s="61"/>
      <c r="V3" s="58"/>
      <c r="W3" s="61"/>
      <c r="X3" s="58"/>
      <c r="Y3" s="61"/>
      <c r="Z3" s="58"/>
      <c r="AA3" s="64"/>
      <c r="AB3" s="65"/>
      <c r="AC3" s="58"/>
      <c r="AD3" s="66"/>
    </row>
    <row r="4" spans="1:31" ht="16.95" customHeight="1" x14ac:dyDescent="0.25">
      <c r="D4" s="69"/>
      <c r="E4" s="487" t="s">
        <v>48</v>
      </c>
      <c r="F4" s="487"/>
      <c r="G4" s="487"/>
      <c r="H4" s="487"/>
      <c r="I4" s="487"/>
      <c r="J4" s="487"/>
      <c r="K4" s="487"/>
      <c r="L4" s="487"/>
      <c r="M4" s="69"/>
      <c r="N4" s="69"/>
      <c r="O4" s="130"/>
      <c r="P4" s="69"/>
      <c r="Q4" s="69"/>
      <c r="R4" s="70" t="s">
        <v>255</v>
      </c>
      <c r="S4" s="69"/>
      <c r="T4" s="148"/>
      <c r="U4" s="69"/>
      <c r="V4" s="69"/>
      <c r="W4" s="69"/>
      <c r="X4" s="69"/>
      <c r="Y4" s="69"/>
      <c r="Z4" s="58"/>
      <c r="AA4" s="58"/>
      <c r="AB4" s="65"/>
      <c r="AC4" s="58"/>
      <c r="AD4" s="66"/>
    </row>
    <row r="5" spans="1:31" ht="16.95" customHeight="1" thickBot="1" x14ac:dyDescent="0.3">
      <c r="B5" s="108"/>
      <c r="D5" s="76"/>
      <c r="E5" s="6"/>
      <c r="F5" s="285"/>
      <c r="G5" s="6"/>
      <c r="H5" s="157"/>
      <c r="I5" s="6"/>
      <c r="J5" s="157"/>
      <c r="K5" s="486"/>
      <c r="L5" s="486"/>
      <c r="M5" s="58"/>
      <c r="N5" s="58"/>
      <c r="O5" s="65"/>
      <c r="P5" s="77"/>
      <c r="Q5" s="78"/>
      <c r="R5" s="377" t="s">
        <v>4</v>
      </c>
      <c r="S5" s="79" t="s">
        <v>49</v>
      </c>
      <c r="U5" s="63"/>
      <c r="W5" s="63"/>
      <c r="Y5" s="63"/>
      <c r="AA5" s="63"/>
      <c r="AB5" s="63"/>
      <c r="AD5" s="63"/>
      <c r="AE5" s="63"/>
    </row>
    <row r="6" spans="1:31" ht="28.05" customHeight="1" thickBot="1" x14ac:dyDescent="0.3">
      <c r="B6" s="373" t="s">
        <v>3</v>
      </c>
      <c r="C6" s="384" t="s">
        <v>50</v>
      </c>
      <c r="D6" s="76"/>
      <c r="E6" s="374" t="s">
        <v>516</v>
      </c>
      <c r="F6" s="375" t="s">
        <v>51</v>
      </c>
      <c r="G6" s="376" t="s">
        <v>337</v>
      </c>
      <c r="H6" s="375" t="s">
        <v>51</v>
      </c>
      <c r="I6" s="376" t="s">
        <v>338</v>
      </c>
      <c r="J6" s="375" t="s">
        <v>51</v>
      </c>
      <c r="K6" s="376" t="s">
        <v>339</v>
      </c>
      <c r="L6" s="388" t="s">
        <v>51</v>
      </c>
      <c r="M6" s="58"/>
      <c r="N6" s="58"/>
      <c r="O6" s="378" t="s">
        <v>3</v>
      </c>
      <c r="P6" s="379"/>
      <c r="Q6" s="380"/>
      <c r="R6" s="381" t="s">
        <v>256</v>
      </c>
      <c r="S6" s="382"/>
      <c r="T6" s="383" t="s">
        <v>588</v>
      </c>
      <c r="U6" s="63"/>
      <c r="W6" s="63"/>
      <c r="Y6" s="63"/>
      <c r="AA6" s="63"/>
      <c r="AB6" s="63"/>
      <c r="AD6" s="63"/>
      <c r="AE6" s="63"/>
    </row>
    <row r="7" spans="1:31" ht="16.95" customHeight="1" x14ac:dyDescent="0.25">
      <c r="B7" s="116"/>
      <c r="C7" s="58"/>
      <c r="D7" s="58"/>
      <c r="E7" s="131"/>
      <c r="F7" s="279"/>
      <c r="G7" s="131"/>
      <c r="H7" s="272"/>
      <c r="I7" s="131"/>
      <c r="J7" s="272"/>
      <c r="K7" s="131"/>
      <c r="L7" s="280"/>
      <c r="M7" s="58"/>
      <c r="N7" s="58"/>
      <c r="O7" s="116"/>
      <c r="P7" s="71"/>
      <c r="Q7" s="69"/>
      <c r="R7" s="81"/>
      <c r="S7" s="67"/>
      <c r="T7" s="150"/>
      <c r="U7" s="63"/>
      <c r="W7" s="63"/>
      <c r="Y7" s="63"/>
      <c r="AA7" s="63"/>
      <c r="AB7" s="63"/>
      <c r="AD7" s="63"/>
      <c r="AE7" s="63"/>
    </row>
    <row r="8" spans="1:31" ht="16.95" customHeight="1" x14ac:dyDescent="0.25">
      <c r="B8" s="121">
        <v>100</v>
      </c>
      <c r="C8" s="122" t="s">
        <v>24</v>
      </c>
      <c r="D8" s="58"/>
      <c r="E8" s="31">
        <f t="shared" ref="E8:L8" si="0">E9+E13+E16+E19+E22+E25+E30+E34</f>
        <v>132700</v>
      </c>
      <c r="F8" s="298">
        <f t="shared" si="0"/>
        <v>1</v>
      </c>
      <c r="G8" s="299">
        <f t="shared" si="0"/>
        <v>226400</v>
      </c>
      <c r="H8" s="275">
        <f t="shared" si="0"/>
        <v>2</v>
      </c>
      <c r="I8" s="299">
        <f t="shared" si="0"/>
        <v>230550</v>
      </c>
      <c r="J8" s="275">
        <f t="shared" si="0"/>
        <v>2</v>
      </c>
      <c r="K8" s="299">
        <f t="shared" si="0"/>
        <v>233749.5</v>
      </c>
      <c r="L8" s="275">
        <f t="shared" si="0"/>
        <v>1</v>
      </c>
      <c r="M8" s="58"/>
      <c r="N8" s="58"/>
      <c r="O8" s="121">
        <f>B8</f>
        <v>100</v>
      </c>
      <c r="P8" s="83"/>
      <c r="Q8" s="84"/>
      <c r="R8" s="85" t="str">
        <f>C8&amp;" - Calculates automatically."</f>
        <v>Administration - Calculates automatically.</v>
      </c>
      <c r="S8" s="86" t="s">
        <v>52</v>
      </c>
      <c r="T8" s="122" t="s">
        <v>24</v>
      </c>
      <c r="U8" s="63"/>
      <c r="W8" s="63"/>
      <c r="Y8" s="63"/>
      <c r="AA8" s="63"/>
      <c r="AB8" s="63"/>
      <c r="AD8" s="63"/>
      <c r="AE8" s="63"/>
    </row>
    <row r="9" spans="1:31" ht="16.95" customHeight="1" x14ac:dyDescent="0.25">
      <c r="B9" s="120">
        <v>110</v>
      </c>
      <c r="C9" s="114" t="s">
        <v>251</v>
      </c>
      <c r="D9" s="58"/>
      <c r="E9" s="133">
        <f>SUM(E10:E12)</f>
        <v>5000</v>
      </c>
      <c r="F9" s="273">
        <v>0</v>
      </c>
      <c r="G9" s="139">
        <f>SUM(G10:G12)</f>
        <v>4500</v>
      </c>
      <c r="H9" s="273">
        <v>0</v>
      </c>
      <c r="I9" s="139">
        <f>SUM(I10:I12)</f>
        <v>4500</v>
      </c>
      <c r="J9" s="273">
        <v>0</v>
      </c>
      <c r="K9" s="139">
        <f>SUM(K10:K12)</f>
        <v>4500</v>
      </c>
      <c r="L9" s="273">
        <v>0</v>
      </c>
      <c r="M9" s="58"/>
      <c r="N9" s="58"/>
      <c r="O9" s="120">
        <f>B9</f>
        <v>110</v>
      </c>
      <c r="P9" s="83"/>
      <c r="Q9" s="84"/>
      <c r="R9" s="80" t="s">
        <v>53</v>
      </c>
      <c r="S9" s="67" t="s">
        <v>54</v>
      </c>
      <c r="U9" s="63"/>
      <c r="W9" s="63"/>
      <c r="Y9" s="63"/>
      <c r="AA9" s="63"/>
      <c r="AB9" s="63"/>
      <c r="AD9" s="63"/>
      <c r="AE9" s="63"/>
    </row>
    <row r="10" spans="1:31" ht="16.95" customHeight="1" outlineLevel="1" x14ac:dyDescent="0.25">
      <c r="B10" s="117">
        <v>111</v>
      </c>
      <c r="C10" s="58" t="s">
        <v>55</v>
      </c>
      <c r="D10" s="58"/>
      <c r="E10" s="134">
        <f>'Cash Paid to Vendors'!F6</f>
        <v>1000</v>
      </c>
      <c r="F10" s="273">
        <v>0</v>
      </c>
      <c r="G10" s="140">
        <f>'Cash Paid to Vendors'!G6</f>
        <v>1000</v>
      </c>
      <c r="H10" s="273">
        <v>0</v>
      </c>
      <c r="I10" s="140">
        <f>'Cash Paid to Vendors'!H6</f>
        <v>1000</v>
      </c>
      <c r="J10" s="273">
        <v>0</v>
      </c>
      <c r="K10" s="140">
        <f>'Cash Paid to Vendors'!I6</f>
        <v>1000</v>
      </c>
      <c r="L10" s="273">
        <v>0</v>
      </c>
      <c r="M10" s="58"/>
      <c r="N10" s="58"/>
      <c r="O10" s="117">
        <f>B10</f>
        <v>111</v>
      </c>
      <c r="P10" s="83"/>
      <c r="Q10" s="84"/>
      <c r="R10" s="80" t="s">
        <v>56</v>
      </c>
      <c r="S10" s="67" t="s">
        <v>54</v>
      </c>
      <c r="T10" s="95" t="s">
        <v>724</v>
      </c>
      <c r="U10" s="63"/>
      <c r="W10" s="63"/>
      <c r="Y10" s="63"/>
      <c r="AA10" s="63"/>
      <c r="AB10" s="63"/>
      <c r="AD10" s="63"/>
      <c r="AE10" s="63"/>
    </row>
    <row r="11" spans="1:31" ht="16.95" customHeight="1" outlineLevel="1" x14ac:dyDescent="0.25">
      <c r="B11" s="117">
        <v>112</v>
      </c>
      <c r="C11" s="58" t="s">
        <v>57</v>
      </c>
      <c r="D11" s="58"/>
      <c r="E11" s="134">
        <v>3000</v>
      </c>
      <c r="F11" s="273">
        <v>0</v>
      </c>
      <c r="G11" s="140">
        <v>3000</v>
      </c>
      <c r="H11" s="273">
        <v>0</v>
      </c>
      <c r="I11" s="140">
        <v>3000</v>
      </c>
      <c r="J11" s="273">
        <v>0</v>
      </c>
      <c r="K11" s="140">
        <v>3000</v>
      </c>
      <c r="L11" s="273">
        <v>0</v>
      </c>
      <c r="M11" s="58"/>
      <c r="N11" s="58"/>
      <c r="O11" s="117">
        <f>B11</f>
        <v>112</v>
      </c>
      <c r="P11" s="83"/>
      <c r="Q11" s="82"/>
      <c r="R11" s="87" t="s">
        <v>58</v>
      </c>
      <c r="S11" s="67" t="s">
        <v>54</v>
      </c>
      <c r="T11" s="152" t="s">
        <v>363</v>
      </c>
      <c r="U11" s="63"/>
      <c r="W11" s="63"/>
      <c r="Y11" s="63"/>
      <c r="AA11" s="63"/>
      <c r="AB11" s="63"/>
      <c r="AD11" s="63"/>
      <c r="AE11" s="63"/>
    </row>
    <row r="12" spans="1:31" ht="16.95" customHeight="1" outlineLevel="1" x14ac:dyDescent="0.25">
      <c r="B12" s="117">
        <v>113</v>
      </c>
      <c r="C12" s="58" t="s">
        <v>361</v>
      </c>
      <c r="D12" s="58"/>
      <c r="E12" s="134">
        <v>1000</v>
      </c>
      <c r="F12" s="273">
        <v>0</v>
      </c>
      <c r="G12" s="140">
        <v>500</v>
      </c>
      <c r="H12" s="273">
        <v>0</v>
      </c>
      <c r="I12" s="140">
        <v>500</v>
      </c>
      <c r="J12" s="273">
        <v>0</v>
      </c>
      <c r="K12" s="140">
        <v>500</v>
      </c>
      <c r="L12" s="273">
        <v>0</v>
      </c>
      <c r="M12" s="58"/>
      <c r="N12" s="58"/>
      <c r="O12" s="117">
        <v>113</v>
      </c>
      <c r="P12" s="83"/>
      <c r="Q12" s="82"/>
      <c r="R12" s="87" t="s">
        <v>59</v>
      </c>
      <c r="S12" s="67"/>
      <c r="T12" s="152" t="s">
        <v>587</v>
      </c>
      <c r="U12" s="63"/>
      <c r="W12" s="63"/>
      <c r="Y12" s="63"/>
      <c r="AA12" s="63"/>
      <c r="AB12" s="63"/>
      <c r="AD12" s="63"/>
      <c r="AE12" s="63"/>
    </row>
    <row r="13" spans="1:31" ht="16.95" customHeight="1" x14ac:dyDescent="0.25">
      <c r="B13" s="120">
        <v>120</v>
      </c>
      <c r="C13" s="114" t="s">
        <v>60</v>
      </c>
      <c r="D13" s="58"/>
      <c r="E13" s="31">
        <f>SUM(E14:E15)</f>
        <v>80000</v>
      </c>
      <c r="F13" s="298">
        <f>F14</f>
        <v>1</v>
      </c>
      <c r="G13" s="299">
        <f>SUM(G14:G15)</f>
        <v>80000</v>
      </c>
      <c r="H13" s="298">
        <f>H14</f>
        <v>1</v>
      </c>
      <c r="I13" s="299">
        <f>SUM(I14:I15)</f>
        <v>80000</v>
      </c>
      <c r="J13" s="298">
        <f>J14</f>
        <v>1</v>
      </c>
      <c r="K13" s="299">
        <f>SUM(K14:K15)</f>
        <v>80000</v>
      </c>
      <c r="L13" s="298">
        <v>1</v>
      </c>
      <c r="M13" s="58"/>
      <c r="N13" s="58"/>
      <c r="O13" s="120">
        <f t="shared" ref="O13:O39" si="1">B13</f>
        <v>120</v>
      </c>
      <c r="P13" s="89"/>
      <c r="Q13" s="88"/>
      <c r="R13" s="80" t="s">
        <v>61</v>
      </c>
      <c r="S13" s="67" t="s">
        <v>62</v>
      </c>
      <c r="U13" s="63"/>
      <c r="W13" s="63"/>
      <c r="Y13" s="63"/>
      <c r="AA13" s="63"/>
      <c r="AB13" s="63"/>
      <c r="AD13" s="63"/>
      <c r="AE13" s="63"/>
    </row>
    <row r="14" spans="1:31" ht="16.95" customHeight="1" outlineLevel="1" x14ac:dyDescent="0.25">
      <c r="B14" s="117">
        <v>121</v>
      </c>
      <c r="C14" s="58" t="s">
        <v>63</v>
      </c>
      <c r="D14" s="58"/>
      <c r="E14" s="134">
        <f>'Personnel Breakout'!E9</f>
        <v>80000</v>
      </c>
      <c r="F14" s="274">
        <v>1</v>
      </c>
      <c r="G14" s="140">
        <f>'Personnel Breakout'!F9</f>
        <v>80000</v>
      </c>
      <c r="H14" s="274">
        <v>1</v>
      </c>
      <c r="I14" s="307">
        <f>'Personnel Breakout'!G9</f>
        <v>80000</v>
      </c>
      <c r="J14" s="274">
        <v>1</v>
      </c>
      <c r="K14" s="134">
        <f>'Personnel Breakout'!H9</f>
        <v>80000</v>
      </c>
      <c r="L14" s="274">
        <v>0</v>
      </c>
      <c r="M14" s="58"/>
      <c r="N14" s="58"/>
      <c r="O14" s="117">
        <f t="shared" si="1"/>
        <v>121</v>
      </c>
      <c r="P14" s="83"/>
      <c r="Q14" s="84"/>
      <c r="R14" s="90" t="s">
        <v>64</v>
      </c>
      <c r="S14" s="67" t="s">
        <v>62</v>
      </c>
      <c r="T14" s="151" t="s">
        <v>725</v>
      </c>
      <c r="U14" s="63"/>
      <c r="W14" s="63"/>
      <c r="Y14" s="63"/>
      <c r="AA14" s="63"/>
      <c r="AB14" s="63"/>
      <c r="AD14" s="63"/>
      <c r="AE14" s="63"/>
    </row>
    <row r="15" spans="1:31" ht="16.95" customHeight="1" outlineLevel="1" x14ac:dyDescent="0.25">
      <c r="B15" s="117">
        <v>122</v>
      </c>
      <c r="C15" s="58" t="s">
        <v>65</v>
      </c>
      <c r="D15" s="58"/>
      <c r="E15" s="134">
        <v>0</v>
      </c>
      <c r="F15" s="273">
        <v>0</v>
      </c>
      <c r="G15" s="140">
        <v>0</v>
      </c>
      <c r="H15" s="273">
        <v>0</v>
      </c>
      <c r="I15" s="140">
        <v>0</v>
      </c>
      <c r="J15" s="273">
        <v>0</v>
      </c>
      <c r="K15" s="140">
        <v>0</v>
      </c>
      <c r="L15" s="273">
        <v>0</v>
      </c>
      <c r="M15" s="58"/>
      <c r="N15" s="58"/>
      <c r="O15" s="117">
        <f t="shared" si="1"/>
        <v>122</v>
      </c>
      <c r="P15" s="83"/>
      <c r="Q15" s="84"/>
      <c r="R15" s="80" t="s">
        <v>66</v>
      </c>
      <c r="S15" s="67" t="s">
        <v>62</v>
      </c>
      <c r="U15" s="63"/>
      <c r="W15" s="63"/>
      <c r="Y15" s="63"/>
      <c r="AA15" s="63"/>
      <c r="AB15" s="63"/>
      <c r="AD15" s="63"/>
      <c r="AE15" s="63"/>
    </row>
    <row r="16" spans="1:31" ht="16.95" customHeight="1" x14ac:dyDescent="0.25">
      <c r="B16" s="120">
        <v>130</v>
      </c>
      <c r="C16" s="114" t="s">
        <v>67</v>
      </c>
      <c r="D16" s="58"/>
      <c r="E16" s="133">
        <f>SUM(E17:E18)</f>
        <v>2000</v>
      </c>
      <c r="F16" s="275">
        <f>F17</f>
        <v>0</v>
      </c>
      <c r="G16" s="139">
        <f>SUM(G17:G18)</f>
        <v>71500</v>
      </c>
      <c r="H16" s="275">
        <f>H17</f>
        <v>1</v>
      </c>
      <c r="I16" s="139">
        <f>SUM(I17:I18)</f>
        <v>73150</v>
      </c>
      <c r="J16" s="275">
        <f>J17</f>
        <v>1</v>
      </c>
      <c r="K16" s="139">
        <f>SUM(K17:K18)</f>
        <v>74849.5</v>
      </c>
      <c r="L16" s="275">
        <f>L17</f>
        <v>0</v>
      </c>
      <c r="M16" s="58"/>
      <c r="N16" s="58"/>
      <c r="O16" s="120">
        <f t="shared" si="1"/>
        <v>130</v>
      </c>
      <c r="P16" s="89"/>
      <c r="Q16" s="88"/>
      <c r="R16" s="80" t="s">
        <v>68</v>
      </c>
      <c r="S16" s="67" t="s">
        <v>69</v>
      </c>
      <c r="U16" s="63"/>
      <c r="W16" s="63"/>
      <c r="Y16" s="63"/>
      <c r="AA16" s="63"/>
      <c r="AB16" s="63"/>
      <c r="AD16" s="63"/>
      <c r="AE16" s="63"/>
    </row>
    <row r="17" spans="2:31" ht="16.95" customHeight="1" outlineLevel="1" x14ac:dyDescent="0.25">
      <c r="B17" s="117">
        <v>131</v>
      </c>
      <c r="C17" s="58" t="s">
        <v>63</v>
      </c>
      <c r="D17" s="58"/>
      <c r="E17" s="134">
        <v>2000</v>
      </c>
      <c r="F17" s="274">
        <v>0</v>
      </c>
      <c r="G17" s="140">
        <f>'Personnel Breakout'!F13</f>
        <v>55000</v>
      </c>
      <c r="H17" s="274">
        <v>1</v>
      </c>
      <c r="I17" s="140">
        <f>'Personnel Breakout'!G13</f>
        <v>56650</v>
      </c>
      <c r="J17" s="274">
        <v>1</v>
      </c>
      <c r="K17" s="140">
        <f>'Personnel Breakout'!H13</f>
        <v>58349.5</v>
      </c>
      <c r="L17" s="274">
        <v>0</v>
      </c>
      <c r="M17" s="58"/>
      <c r="N17" s="58"/>
      <c r="O17" s="117">
        <f t="shared" si="1"/>
        <v>131</v>
      </c>
      <c r="P17" s="83"/>
      <c r="Q17" s="84"/>
      <c r="R17" s="90" t="s">
        <v>70</v>
      </c>
      <c r="S17" s="67" t="s">
        <v>69</v>
      </c>
      <c r="T17" s="151" t="s">
        <v>589</v>
      </c>
      <c r="U17" s="63"/>
      <c r="W17" s="63"/>
      <c r="Y17" s="63"/>
      <c r="AA17" s="63"/>
      <c r="AB17" s="63"/>
      <c r="AD17" s="63"/>
      <c r="AE17" s="63"/>
    </row>
    <row r="18" spans="2:31" ht="16.95" customHeight="1" outlineLevel="1" x14ac:dyDescent="0.25">
      <c r="B18" s="117">
        <v>132</v>
      </c>
      <c r="C18" s="58" t="s">
        <v>65</v>
      </c>
      <c r="D18" s="58"/>
      <c r="E18" s="134">
        <v>0</v>
      </c>
      <c r="F18" s="273">
        <v>0</v>
      </c>
      <c r="G18" s="140">
        <f>SUM('Cash Paid to Vendors'!G7:G9)</f>
        <v>16500</v>
      </c>
      <c r="H18" s="273">
        <v>0</v>
      </c>
      <c r="I18" s="140">
        <f>SUM('Cash Paid to Vendors'!H7:H9)</f>
        <v>16500</v>
      </c>
      <c r="J18" s="273">
        <v>0</v>
      </c>
      <c r="K18" s="140">
        <f>SUM('Cash Paid to Vendors'!I7:I9)</f>
        <v>16500</v>
      </c>
      <c r="L18" s="273">
        <v>0</v>
      </c>
      <c r="M18" s="58"/>
      <c r="N18" s="58"/>
      <c r="O18" s="117">
        <f t="shared" si="1"/>
        <v>132</v>
      </c>
      <c r="P18" s="83"/>
      <c r="Q18" s="84"/>
      <c r="R18" s="80" t="s">
        <v>66</v>
      </c>
      <c r="S18" s="67" t="s">
        <v>69</v>
      </c>
      <c r="T18" s="101" t="s">
        <v>591</v>
      </c>
      <c r="U18" s="63"/>
      <c r="W18" s="63"/>
      <c r="Y18" s="63"/>
      <c r="AA18" s="63"/>
      <c r="AB18" s="63"/>
      <c r="AD18" s="63"/>
      <c r="AE18" s="63"/>
    </row>
    <row r="19" spans="2:31" ht="16.95" customHeight="1" x14ac:dyDescent="0.25">
      <c r="B19" s="120">
        <v>140</v>
      </c>
      <c r="C19" s="114" t="s">
        <v>71</v>
      </c>
      <c r="D19" s="58"/>
      <c r="E19" s="133">
        <f>SUM(E20:E21)</f>
        <v>2000</v>
      </c>
      <c r="F19" s="275">
        <f>F20</f>
        <v>0</v>
      </c>
      <c r="G19" s="139">
        <f>SUM(G20:G21)</f>
        <v>15000</v>
      </c>
      <c r="H19" s="275">
        <f>H20</f>
        <v>0</v>
      </c>
      <c r="I19" s="139">
        <f>SUM(I20:I21)</f>
        <v>15000</v>
      </c>
      <c r="J19" s="275">
        <f>J20</f>
        <v>0</v>
      </c>
      <c r="K19" s="139">
        <f>SUM(K20:K21)</f>
        <v>15000</v>
      </c>
      <c r="L19" s="275">
        <f>L20</f>
        <v>0</v>
      </c>
      <c r="M19" s="58"/>
      <c r="N19" s="58"/>
      <c r="O19" s="120">
        <f t="shared" si="1"/>
        <v>140</v>
      </c>
      <c r="P19" s="83"/>
      <c r="Q19" s="82"/>
      <c r="R19" s="80" t="s">
        <v>72</v>
      </c>
      <c r="S19" s="67" t="s">
        <v>73</v>
      </c>
      <c r="U19" s="63"/>
      <c r="W19" s="63"/>
      <c r="Y19" s="63"/>
      <c r="AA19" s="63"/>
      <c r="AB19" s="63"/>
      <c r="AD19" s="63"/>
      <c r="AE19" s="63"/>
    </row>
    <row r="20" spans="2:31" ht="16.95" customHeight="1" outlineLevel="1" x14ac:dyDescent="0.25">
      <c r="B20" s="117">
        <v>141</v>
      </c>
      <c r="C20" s="58" t="s">
        <v>63</v>
      </c>
      <c r="D20" s="58"/>
      <c r="E20" s="134">
        <v>0</v>
      </c>
      <c r="F20" s="274">
        <v>0</v>
      </c>
      <c r="G20" s="140">
        <v>0</v>
      </c>
      <c r="H20" s="274">
        <v>0</v>
      </c>
      <c r="I20" s="140">
        <v>0</v>
      </c>
      <c r="J20" s="274">
        <v>0</v>
      </c>
      <c r="K20" s="140">
        <v>0</v>
      </c>
      <c r="L20" s="274">
        <v>0</v>
      </c>
      <c r="M20" s="58"/>
      <c r="N20" s="58"/>
      <c r="O20" s="117">
        <f t="shared" si="1"/>
        <v>141</v>
      </c>
      <c r="P20" s="83"/>
      <c r="Q20" s="84"/>
      <c r="R20" s="90" t="s">
        <v>74</v>
      </c>
      <c r="S20" s="67" t="s">
        <v>73</v>
      </c>
      <c r="U20" s="63"/>
      <c r="W20" s="63"/>
      <c r="Y20" s="63"/>
      <c r="AA20" s="63"/>
      <c r="AB20" s="63"/>
      <c r="AD20" s="63"/>
      <c r="AE20" s="63"/>
    </row>
    <row r="21" spans="2:31" ht="16.95" customHeight="1" outlineLevel="1" x14ac:dyDescent="0.25">
      <c r="B21" s="117">
        <v>142</v>
      </c>
      <c r="C21" s="58" t="s">
        <v>65</v>
      </c>
      <c r="D21" s="58"/>
      <c r="E21" s="134">
        <f>SUM('Cash Paid to Vendors'!F10:F11)</f>
        <v>2000</v>
      </c>
      <c r="F21" s="273">
        <v>0</v>
      </c>
      <c r="G21" s="140">
        <f>SUM('Cash Paid to Vendors'!G10:G11)</f>
        <v>15000</v>
      </c>
      <c r="H21" s="273">
        <v>0</v>
      </c>
      <c r="I21" s="140">
        <f>SUM('Cash Paid to Vendors'!H10:H11)</f>
        <v>15000</v>
      </c>
      <c r="J21" s="273">
        <v>0</v>
      </c>
      <c r="K21" s="140">
        <f>SUM('Cash Paid to Vendors'!I10:I11)</f>
        <v>15000</v>
      </c>
      <c r="L21" s="273">
        <v>0</v>
      </c>
      <c r="M21" s="58"/>
      <c r="N21" s="58"/>
      <c r="O21" s="117">
        <f t="shared" si="1"/>
        <v>142</v>
      </c>
      <c r="P21" s="83"/>
      <c r="Q21" s="84"/>
      <c r="R21" s="80" t="s">
        <v>66</v>
      </c>
      <c r="S21" s="67" t="s">
        <v>73</v>
      </c>
      <c r="T21" s="101" t="s">
        <v>592</v>
      </c>
      <c r="U21" s="63"/>
      <c r="W21" s="63"/>
      <c r="Y21" s="63"/>
      <c r="AA21" s="63"/>
      <c r="AB21" s="63"/>
      <c r="AD21" s="63"/>
      <c r="AE21" s="63"/>
    </row>
    <row r="22" spans="2:31" ht="16.95" customHeight="1" x14ac:dyDescent="0.25">
      <c r="B22" s="120">
        <v>150</v>
      </c>
      <c r="C22" s="114" t="s">
        <v>75</v>
      </c>
      <c r="D22" s="58"/>
      <c r="E22" s="133">
        <f>SUM(E23:E24)</f>
        <v>0</v>
      </c>
      <c r="F22" s="275">
        <f>F23</f>
        <v>0</v>
      </c>
      <c r="G22" s="139">
        <f>SUM(G23:G24)</f>
        <v>0</v>
      </c>
      <c r="H22" s="275">
        <f>H23</f>
        <v>0</v>
      </c>
      <c r="I22" s="139">
        <f>SUM(I23:I24)</f>
        <v>0</v>
      </c>
      <c r="J22" s="275">
        <f>J23</f>
        <v>0</v>
      </c>
      <c r="K22" s="139">
        <f>SUM(K23:K24)</f>
        <v>0</v>
      </c>
      <c r="L22" s="275">
        <f>L23</f>
        <v>0</v>
      </c>
      <c r="M22" s="58"/>
      <c r="N22" s="58"/>
      <c r="O22" s="120">
        <f t="shared" si="1"/>
        <v>150</v>
      </c>
      <c r="P22" s="83"/>
      <c r="Q22" s="82"/>
      <c r="R22" s="80" t="s">
        <v>76</v>
      </c>
      <c r="S22" s="67" t="s">
        <v>77</v>
      </c>
      <c r="U22" s="63"/>
      <c r="W22" s="63"/>
      <c r="Y22" s="63"/>
      <c r="AA22" s="63"/>
      <c r="AB22" s="63"/>
      <c r="AD22" s="63"/>
      <c r="AE22" s="63"/>
    </row>
    <row r="23" spans="2:31" ht="16.95" customHeight="1" outlineLevel="1" x14ac:dyDescent="0.25">
      <c r="B23" s="117">
        <v>151</v>
      </c>
      <c r="C23" s="58" t="s">
        <v>63</v>
      </c>
      <c r="D23" s="58"/>
      <c r="E23" s="134">
        <v>0</v>
      </c>
      <c r="F23" s="274">
        <v>0</v>
      </c>
      <c r="G23" s="140">
        <v>0</v>
      </c>
      <c r="H23" s="274">
        <v>0</v>
      </c>
      <c r="I23" s="140">
        <v>0</v>
      </c>
      <c r="J23" s="274">
        <v>0</v>
      </c>
      <c r="K23" s="140">
        <v>0</v>
      </c>
      <c r="L23" s="274">
        <v>0</v>
      </c>
      <c r="M23" s="58"/>
      <c r="N23" s="58"/>
      <c r="O23" s="117">
        <f t="shared" si="1"/>
        <v>151</v>
      </c>
      <c r="P23" s="83"/>
      <c r="Q23" s="84"/>
      <c r="R23" s="90" t="s">
        <v>78</v>
      </c>
      <c r="S23" s="67" t="s">
        <v>77</v>
      </c>
      <c r="T23" s="101" t="s">
        <v>593</v>
      </c>
      <c r="U23" s="63"/>
      <c r="W23" s="63"/>
      <c r="Y23" s="63"/>
      <c r="AA23" s="63"/>
      <c r="AB23" s="63"/>
      <c r="AD23" s="63"/>
      <c r="AE23" s="63"/>
    </row>
    <row r="24" spans="2:31" ht="16.95" customHeight="1" outlineLevel="1" x14ac:dyDescent="0.25">
      <c r="B24" s="117">
        <v>152</v>
      </c>
      <c r="C24" s="58" t="s">
        <v>65</v>
      </c>
      <c r="D24" s="58"/>
      <c r="E24" s="134">
        <v>0</v>
      </c>
      <c r="F24" s="273">
        <v>0</v>
      </c>
      <c r="G24" s="140">
        <v>0</v>
      </c>
      <c r="H24" s="273">
        <v>0</v>
      </c>
      <c r="I24" s="140">
        <v>0</v>
      </c>
      <c r="J24" s="273">
        <v>0</v>
      </c>
      <c r="K24" s="140">
        <v>0</v>
      </c>
      <c r="L24" s="273">
        <v>0</v>
      </c>
      <c r="M24" s="58"/>
      <c r="N24" s="58"/>
      <c r="O24" s="117">
        <f t="shared" si="1"/>
        <v>152</v>
      </c>
      <c r="P24" s="83"/>
      <c r="Q24" s="84"/>
      <c r="R24" s="80" t="s">
        <v>66</v>
      </c>
      <c r="S24" s="67" t="s">
        <v>77</v>
      </c>
      <c r="U24" s="63"/>
      <c r="W24" s="63"/>
      <c r="Y24" s="63"/>
      <c r="AA24" s="63"/>
      <c r="AB24" s="63"/>
      <c r="AD24" s="63"/>
      <c r="AE24" s="63"/>
    </row>
    <row r="25" spans="2:31" ht="16.95" customHeight="1" x14ac:dyDescent="0.25">
      <c r="B25" s="120">
        <v>160</v>
      </c>
      <c r="C25" s="114" t="s">
        <v>79</v>
      </c>
      <c r="D25" s="58"/>
      <c r="E25" s="133">
        <f>SUM(E26:E29)</f>
        <v>12200</v>
      </c>
      <c r="F25" s="275">
        <f>F26</f>
        <v>0</v>
      </c>
      <c r="G25" s="139">
        <f>SUM(G26:G29)</f>
        <v>28400</v>
      </c>
      <c r="H25" s="275">
        <f>H26</f>
        <v>0</v>
      </c>
      <c r="I25" s="139">
        <f>SUM(I26:I29)</f>
        <v>28400</v>
      </c>
      <c r="J25" s="275">
        <f>J26</f>
        <v>0</v>
      </c>
      <c r="K25" s="139">
        <f>SUM(K26:K29)</f>
        <v>28400</v>
      </c>
      <c r="L25" s="275">
        <f>L26</f>
        <v>0</v>
      </c>
      <c r="M25" s="58"/>
      <c r="N25" s="58"/>
      <c r="O25" s="120">
        <f t="shared" si="1"/>
        <v>160</v>
      </c>
      <c r="P25" s="83"/>
      <c r="Q25" s="82"/>
      <c r="R25" s="80" t="s">
        <v>80</v>
      </c>
      <c r="S25" s="67" t="s">
        <v>81</v>
      </c>
      <c r="U25" s="63"/>
      <c r="W25" s="63"/>
      <c r="Y25" s="63"/>
      <c r="AA25" s="63"/>
      <c r="AB25" s="63"/>
      <c r="AD25" s="63"/>
      <c r="AE25" s="63"/>
    </row>
    <row r="26" spans="2:31" ht="16.95" customHeight="1" outlineLevel="1" x14ac:dyDescent="0.25">
      <c r="B26" s="117">
        <v>161</v>
      </c>
      <c r="C26" s="58" t="s">
        <v>63</v>
      </c>
      <c r="D26" s="58"/>
      <c r="E26" s="134">
        <v>0</v>
      </c>
      <c r="F26" s="274">
        <v>0</v>
      </c>
      <c r="G26" s="140">
        <v>0</v>
      </c>
      <c r="H26" s="274">
        <v>0</v>
      </c>
      <c r="I26" s="140">
        <v>0</v>
      </c>
      <c r="J26" s="274">
        <v>0</v>
      </c>
      <c r="K26" s="140">
        <v>0</v>
      </c>
      <c r="L26" s="274">
        <v>0</v>
      </c>
      <c r="M26" s="58"/>
      <c r="N26" s="58"/>
      <c r="O26" s="117">
        <f t="shared" si="1"/>
        <v>161</v>
      </c>
      <c r="P26" s="83"/>
      <c r="Q26" s="84"/>
      <c r="R26" s="90" t="s">
        <v>82</v>
      </c>
      <c r="S26" s="67" t="s">
        <v>81</v>
      </c>
      <c r="U26" s="63"/>
      <c r="W26" s="63"/>
      <c r="Y26" s="63"/>
      <c r="AA26" s="63"/>
      <c r="AB26" s="63"/>
      <c r="AD26" s="63"/>
      <c r="AE26" s="63"/>
    </row>
    <row r="27" spans="2:31" ht="16.95" customHeight="1" outlineLevel="1" x14ac:dyDescent="0.25">
      <c r="B27" s="117">
        <v>162</v>
      </c>
      <c r="C27" s="58" t="s">
        <v>65</v>
      </c>
      <c r="D27" s="58"/>
      <c r="E27" s="134">
        <f>SUM('Cash Paid to Vendors'!F12:F14)</f>
        <v>11000</v>
      </c>
      <c r="F27" s="273">
        <v>0</v>
      </c>
      <c r="G27" s="140">
        <f>SUM('Cash Paid to Vendors'!G12:G14)</f>
        <v>26000</v>
      </c>
      <c r="H27" s="273">
        <v>0</v>
      </c>
      <c r="I27" s="140">
        <f>SUM('Cash Paid to Vendors'!H12:H14)</f>
        <v>26000</v>
      </c>
      <c r="J27" s="273">
        <v>0</v>
      </c>
      <c r="K27" s="140">
        <f>SUM('Cash Paid to Vendors'!I12:I14)</f>
        <v>26000</v>
      </c>
      <c r="L27" s="273">
        <v>0</v>
      </c>
      <c r="M27" s="58"/>
      <c r="N27" s="58"/>
      <c r="O27" s="117">
        <f t="shared" si="1"/>
        <v>162</v>
      </c>
      <c r="P27" s="83"/>
      <c r="Q27" s="84"/>
      <c r="R27" s="80" t="s">
        <v>66</v>
      </c>
      <c r="S27" s="67" t="s">
        <v>81</v>
      </c>
      <c r="T27" s="149" t="s">
        <v>622</v>
      </c>
      <c r="U27" s="63"/>
      <c r="W27" s="63"/>
      <c r="Y27" s="63"/>
      <c r="AA27" s="63"/>
      <c r="AB27" s="63"/>
      <c r="AD27" s="63"/>
      <c r="AE27" s="63"/>
    </row>
    <row r="28" spans="2:31" ht="16.95" customHeight="1" outlineLevel="1" x14ac:dyDescent="0.25">
      <c r="B28" s="117">
        <v>163</v>
      </c>
      <c r="C28" s="58" t="s">
        <v>83</v>
      </c>
      <c r="D28" s="58"/>
      <c r="E28" s="134">
        <f>'Cash Paid to Vendors'!F15</f>
        <v>1200</v>
      </c>
      <c r="F28" s="273">
        <v>0</v>
      </c>
      <c r="G28" s="140">
        <f>'Cash Paid to Vendors'!G15</f>
        <v>2400</v>
      </c>
      <c r="H28" s="273">
        <v>0</v>
      </c>
      <c r="I28" s="140">
        <f>'Cash Paid to Vendors'!H15</f>
        <v>2400</v>
      </c>
      <c r="J28" s="273">
        <v>0</v>
      </c>
      <c r="K28" s="140">
        <f>'Cash Paid to Vendors'!I15</f>
        <v>2400</v>
      </c>
      <c r="L28" s="273">
        <v>0</v>
      </c>
      <c r="M28" s="58"/>
      <c r="N28" s="58"/>
      <c r="O28" s="117">
        <f t="shared" si="1"/>
        <v>163</v>
      </c>
      <c r="P28" s="83"/>
      <c r="Q28" s="84"/>
      <c r="R28" s="80" t="s">
        <v>84</v>
      </c>
      <c r="S28" s="67" t="s">
        <v>85</v>
      </c>
      <c r="T28" s="149" t="s">
        <v>633</v>
      </c>
      <c r="U28" s="63"/>
      <c r="W28" s="63"/>
      <c r="Y28" s="63"/>
      <c r="AA28" s="63"/>
      <c r="AB28" s="63"/>
      <c r="AD28" s="63"/>
      <c r="AE28" s="63"/>
    </row>
    <row r="29" spans="2:31" ht="16.95" customHeight="1" outlineLevel="1" x14ac:dyDescent="0.25">
      <c r="B29" s="117">
        <v>164</v>
      </c>
      <c r="C29" s="72" t="s">
        <v>86</v>
      </c>
      <c r="D29" s="58"/>
      <c r="E29" s="134">
        <v>0</v>
      </c>
      <c r="F29" s="273">
        <v>0</v>
      </c>
      <c r="G29" s="140">
        <v>0</v>
      </c>
      <c r="H29" s="273">
        <v>0</v>
      </c>
      <c r="I29" s="140">
        <v>0</v>
      </c>
      <c r="J29" s="273">
        <v>0</v>
      </c>
      <c r="K29" s="140">
        <v>0</v>
      </c>
      <c r="L29" s="273">
        <v>0</v>
      </c>
      <c r="M29" s="58"/>
      <c r="N29" s="58"/>
      <c r="O29" s="117">
        <f t="shared" si="1"/>
        <v>164</v>
      </c>
      <c r="P29" s="83"/>
      <c r="Q29" s="82"/>
      <c r="R29" s="80" t="s">
        <v>87</v>
      </c>
      <c r="S29" s="67" t="s">
        <v>81</v>
      </c>
      <c r="U29" s="63"/>
      <c r="W29" s="63"/>
      <c r="Y29" s="63"/>
      <c r="AA29" s="63"/>
      <c r="AB29" s="63"/>
      <c r="AD29" s="63"/>
      <c r="AE29" s="63"/>
    </row>
    <row r="30" spans="2:31" ht="16.95" customHeight="1" x14ac:dyDescent="0.25">
      <c r="B30" s="120">
        <v>170</v>
      </c>
      <c r="C30" s="114" t="s">
        <v>88</v>
      </c>
      <c r="D30" s="58"/>
      <c r="E30" s="133">
        <f>SUM(E31:E33)</f>
        <v>6000</v>
      </c>
      <c r="F30" s="275">
        <f>F31</f>
        <v>0</v>
      </c>
      <c r="G30" s="139">
        <f>SUM(G31:G33)</f>
        <v>6000</v>
      </c>
      <c r="H30" s="275">
        <f>H31</f>
        <v>0</v>
      </c>
      <c r="I30" s="139">
        <f>SUM(I31:I33)</f>
        <v>6000</v>
      </c>
      <c r="J30" s="275">
        <f>J31</f>
        <v>0</v>
      </c>
      <c r="K30" s="139">
        <f>SUM(K31:K33)</f>
        <v>6000</v>
      </c>
      <c r="L30" s="275">
        <f>L31</f>
        <v>0</v>
      </c>
      <c r="M30" s="58"/>
      <c r="N30" s="58"/>
      <c r="O30" s="120">
        <f t="shared" si="1"/>
        <v>170</v>
      </c>
      <c r="P30" s="89"/>
      <c r="Q30" s="88"/>
      <c r="R30" s="80" t="s">
        <v>89</v>
      </c>
      <c r="S30" s="67" t="s">
        <v>85</v>
      </c>
      <c r="U30" s="63"/>
      <c r="W30" s="63"/>
      <c r="Y30" s="63"/>
      <c r="AA30" s="63"/>
      <c r="AB30" s="63"/>
      <c r="AD30" s="63"/>
      <c r="AE30" s="63"/>
    </row>
    <row r="31" spans="2:31" ht="16.95" customHeight="1" outlineLevel="1" x14ac:dyDescent="0.25">
      <c r="B31" s="117">
        <v>171</v>
      </c>
      <c r="C31" s="58" t="s">
        <v>63</v>
      </c>
      <c r="D31" s="58"/>
      <c r="E31" s="134">
        <v>0</v>
      </c>
      <c r="F31" s="274">
        <v>0</v>
      </c>
      <c r="G31" s="140">
        <v>0</v>
      </c>
      <c r="H31" s="274">
        <v>0</v>
      </c>
      <c r="I31" s="140">
        <v>0</v>
      </c>
      <c r="J31" s="274">
        <v>0</v>
      </c>
      <c r="K31" s="140">
        <v>0</v>
      </c>
      <c r="L31" s="274">
        <v>0</v>
      </c>
      <c r="M31" s="58"/>
      <c r="N31" s="58"/>
      <c r="O31" s="117">
        <f t="shared" si="1"/>
        <v>171</v>
      </c>
      <c r="P31" s="83"/>
      <c r="Q31" s="84"/>
      <c r="R31" s="90" t="s">
        <v>90</v>
      </c>
      <c r="S31" s="67" t="s">
        <v>85</v>
      </c>
      <c r="U31" s="63"/>
      <c r="W31" s="63"/>
      <c r="Y31" s="63"/>
      <c r="AA31" s="63"/>
      <c r="AB31" s="63"/>
      <c r="AD31" s="63"/>
      <c r="AE31" s="63"/>
    </row>
    <row r="32" spans="2:31" ht="16.95" customHeight="1" outlineLevel="1" x14ac:dyDescent="0.25">
      <c r="B32" s="117">
        <v>172</v>
      </c>
      <c r="C32" s="58" t="s">
        <v>65</v>
      </c>
      <c r="D32" s="58"/>
      <c r="E32" s="134">
        <v>0</v>
      </c>
      <c r="F32" s="273">
        <v>0</v>
      </c>
      <c r="G32" s="140">
        <v>0</v>
      </c>
      <c r="H32" s="273">
        <v>0</v>
      </c>
      <c r="I32" s="140">
        <v>0</v>
      </c>
      <c r="J32" s="273">
        <v>0</v>
      </c>
      <c r="K32" s="140">
        <v>0</v>
      </c>
      <c r="L32" s="273">
        <v>0</v>
      </c>
      <c r="M32" s="58"/>
      <c r="N32" s="58"/>
      <c r="O32" s="117">
        <f t="shared" si="1"/>
        <v>172</v>
      </c>
      <c r="P32" s="83"/>
      <c r="Q32" s="84"/>
      <c r="R32" s="80" t="s">
        <v>66</v>
      </c>
      <c r="S32" s="67" t="s">
        <v>85</v>
      </c>
      <c r="U32" s="63"/>
      <c r="W32" s="63"/>
      <c r="Y32" s="63"/>
      <c r="AA32" s="63"/>
      <c r="AB32" s="63"/>
      <c r="AD32" s="63"/>
      <c r="AE32" s="63"/>
    </row>
    <row r="33" spans="2:31" ht="16.95" customHeight="1" outlineLevel="1" x14ac:dyDescent="0.25">
      <c r="B33" s="117">
        <v>173</v>
      </c>
      <c r="C33" s="58" t="s">
        <v>91</v>
      </c>
      <c r="D33" s="58"/>
      <c r="E33" s="134">
        <v>6000</v>
      </c>
      <c r="F33" s="273">
        <v>0</v>
      </c>
      <c r="G33" s="140">
        <v>6000</v>
      </c>
      <c r="H33" s="273">
        <v>0</v>
      </c>
      <c r="I33" s="140">
        <v>6000</v>
      </c>
      <c r="J33" s="273">
        <v>0</v>
      </c>
      <c r="K33" s="140">
        <v>6000</v>
      </c>
      <c r="L33" s="273">
        <v>0</v>
      </c>
      <c r="M33" s="58"/>
      <c r="N33" s="58"/>
      <c r="O33" s="117">
        <f t="shared" si="1"/>
        <v>173</v>
      </c>
      <c r="P33" s="83"/>
      <c r="Q33" s="82"/>
      <c r="R33" s="87" t="s">
        <v>92</v>
      </c>
      <c r="S33" s="67" t="s">
        <v>93</v>
      </c>
      <c r="T33" s="150" t="s">
        <v>364</v>
      </c>
      <c r="U33" s="63"/>
      <c r="W33" s="63"/>
      <c r="Y33" s="63"/>
      <c r="AA33" s="63"/>
      <c r="AB33" s="63"/>
      <c r="AD33" s="63"/>
      <c r="AE33" s="63"/>
    </row>
    <row r="34" spans="2:31" ht="16.95" customHeight="1" x14ac:dyDescent="0.25">
      <c r="B34" s="120">
        <v>180</v>
      </c>
      <c r="C34" s="114" t="s">
        <v>94</v>
      </c>
      <c r="D34" s="58"/>
      <c r="E34" s="133">
        <f>SUM(E35:E39)</f>
        <v>25500</v>
      </c>
      <c r="F34" s="275">
        <f>F35</f>
        <v>0</v>
      </c>
      <c r="G34" s="139">
        <f>SUM(G35:G39)</f>
        <v>21000</v>
      </c>
      <c r="H34" s="275">
        <f>H35</f>
        <v>0</v>
      </c>
      <c r="I34" s="139">
        <f>SUM(I35:I39)</f>
        <v>23500</v>
      </c>
      <c r="J34" s="275">
        <f>J35</f>
        <v>0</v>
      </c>
      <c r="K34" s="139">
        <f>SUM(K35:K39)</f>
        <v>25000</v>
      </c>
      <c r="L34" s="275">
        <f>L35</f>
        <v>0</v>
      </c>
      <c r="M34" s="58"/>
      <c r="N34" s="58"/>
      <c r="O34" s="120">
        <f t="shared" si="1"/>
        <v>180</v>
      </c>
      <c r="P34" s="89"/>
      <c r="Q34" s="88"/>
      <c r="R34" s="80" t="s">
        <v>89</v>
      </c>
      <c r="S34" s="67" t="s">
        <v>85</v>
      </c>
      <c r="U34" s="63"/>
      <c r="W34" s="63"/>
      <c r="Y34" s="63"/>
      <c r="AA34" s="63"/>
      <c r="AB34" s="63"/>
      <c r="AD34" s="63"/>
      <c r="AE34" s="63"/>
    </row>
    <row r="35" spans="2:31" ht="16.95" customHeight="1" outlineLevel="1" x14ac:dyDescent="0.25">
      <c r="B35" s="117">
        <v>181</v>
      </c>
      <c r="C35" s="58" t="s">
        <v>95</v>
      </c>
      <c r="D35" s="58"/>
      <c r="E35" s="134">
        <v>0</v>
      </c>
      <c r="F35" s="274">
        <v>0</v>
      </c>
      <c r="G35" s="140">
        <v>0</v>
      </c>
      <c r="H35" s="274">
        <v>0</v>
      </c>
      <c r="I35" s="140">
        <v>0</v>
      </c>
      <c r="J35" s="274">
        <v>0</v>
      </c>
      <c r="K35" s="140">
        <v>0</v>
      </c>
      <c r="L35" s="274">
        <v>0</v>
      </c>
      <c r="M35" s="58"/>
      <c r="N35" s="58"/>
      <c r="O35" s="117">
        <f t="shared" si="1"/>
        <v>181</v>
      </c>
      <c r="P35" s="83"/>
      <c r="Q35" s="84"/>
      <c r="R35" s="91" t="s">
        <v>96</v>
      </c>
      <c r="S35" s="67" t="s">
        <v>85</v>
      </c>
      <c r="U35" s="63"/>
      <c r="W35" s="63"/>
      <c r="Y35" s="63"/>
      <c r="AA35" s="63"/>
      <c r="AB35" s="63"/>
      <c r="AD35" s="63"/>
      <c r="AE35" s="63"/>
    </row>
    <row r="36" spans="2:31" ht="16.95" customHeight="1" outlineLevel="1" x14ac:dyDescent="0.25">
      <c r="B36" s="117">
        <v>182</v>
      </c>
      <c r="C36" s="72" t="s">
        <v>97</v>
      </c>
      <c r="D36" s="58"/>
      <c r="E36" s="135">
        <v>5000</v>
      </c>
      <c r="F36" s="276">
        <v>0</v>
      </c>
      <c r="G36" s="141">
        <v>1000</v>
      </c>
      <c r="H36" s="276">
        <v>0</v>
      </c>
      <c r="I36" s="141">
        <v>1000</v>
      </c>
      <c r="J36" s="276">
        <v>0</v>
      </c>
      <c r="K36" s="141">
        <v>1000</v>
      </c>
      <c r="L36" s="276">
        <v>0</v>
      </c>
      <c r="M36" s="58"/>
      <c r="N36" s="58"/>
      <c r="O36" s="117">
        <f t="shared" si="1"/>
        <v>182</v>
      </c>
      <c r="P36" s="93"/>
      <c r="Q36" s="92"/>
      <c r="R36" s="94" t="s">
        <v>98</v>
      </c>
      <c r="S36" s="67" t="s">
        <v>93</v>
      </c>
      <c r="T36" s="95" t="s">
        <v>365</v>
      </c>
      <c r="U36" s="63"/>
      <c r="W36" s="63"/>
      <c r="Y36" s="63"/>
      <c r="AA36" s="63"/>
      <c r="AB36" s="63"/>
      <c r="AD36" s="63"/>
      <c r="AE36" s="63"/>
    </row>
    <row r="37" spans="2:31" ht="16.95" customHeight="1" outlineLevel="1" x14ac:dyDescent="0.25">
      <c r="B37" s="117">
        <v>183</v>
      </c>
      <c r="C37" s="58" t="s">
        <v>57</v>
      </c>
      <c r="D37" s="58"/>
      <c r="E37" s="134">
        <v>4000</v>
      </c>
      <c r="F37" s="273">
        <v>0</v>
      </c>
      <c r="G37" s="140">
        <v>2000</v>
      </c>
      <c r="H37" s="273">
        <v>0</v>
      </c>
      <c r="I37" s="140">
        <v>3000</v>
      </c>
      <c r="J37" s="273">
        <v>0</v>
      </c>
      <c r="K37" s="140">
        <v>4000</v>
      </c>
      <c r="L37" s="273">
        <v>0</v>
      </c>
      <c r="M37" s="58"/>
      <c r="N37" s="58"/>
      <c r="O37" s="117">
        <f t="shared" si="1"/>
        <v>183</v>
      </c>
      <c r="P37" s="83"/>
      <c r="Q37" s="82"/>
      <c r="R37" s="87" t="s">
        <v>99</v>
      </c>
      <c r="S37" s="67" t="s">
        <v>85</v>
      </c>
      <c r="T37" s="152" t="s">
        <v>599</v>
      </c>
      <c r="U37" s="63"/>
      <c r="W37" s="63"/>
      <c r="Y37" s="63"/>
      <c r="AA37" s="63"/>
      <c r="AB37" s="63"/>
      <c r="AD37" s="63"/>
      <c r="AE37" s="63"/>
    </row>
    <row r="38" spans="2:31" ht="16.95" customHeight="1" outlineLevel="1" x14ac:dyDescent="0.25">
      <c r="B38" s="117">
        <v>184</v>
      </c>
      <c r="C38" s="58" t="s">
        <v>83</v>
      </c>
      <c r="D38" s="58"/>
      <c r="E38" s="134">
        <f>SUM('Cash Paid to Vendors'!F16:F18)</f>
        <v>15500</v>
      </c>
      <c r="F38" s="273">
        <v>0</v>
      </c>
      <c r="G38" s="140">
        <f>SUM('Cash Paid to Vendors'!G16:G18)</f>
        <v>16000</v>
      </c>
      <c r="H38" s="273">
        <v>0</v>
      </c>
      <c r="I38" s="140">
        <f>SUM('Cash Paid to Vendors'!H16:H18)</f>
        <v>16500</v>
      </c>
      <c r="J38" s="273">
        <v>0</v>
      </c>
      <c r="K38" s="140">
        <f>SUM('Cash Paid to Vendors'!I16:I18)</f>
        <v>17000</v>
      </c>
      <c r="L38" s="273">
        <v>0</v>
      </c>
      <c r="M38" s="58"/>
      <c r="N38" s="58"/>
      <c r="O38" s="117">
        <f t="shared" si="1"/>
        <v>184</v>
      </c>
      <c r="P38" s="83"/>
      <c r="Q38" s="82"/>
      <c r="R38" s="87" t="s">
        <v>100</v>
      </c>
      <c r="S38" s="67"/>
      <c r="T38" s="152" t="s">
        <v>600</v>
      </c>
      <c r="U38" s="63"/>
      <c r="W38" s="63"/>
      <c r="Y38" s="63"/>
      <c r="AA38" s="63"/>
      <c r="AB38" s="63"/>
      <c r="AD38" s="63"/>
      <c r="AE38" s="63"/>
    </row>
    <row r="39" spans="2:31" ht="16.95" customHeight="1" outlineLevel="1" x14ac:dyDescent="0.25">
      <c r="B39" s="117">
        <v>185</v>
      </c>
      <c r="C39" s="58" t="s">
        <v>596</v>
      </c>
      <c r="D39" s="58"/>
      <c r="E39" s="134">
        <v>1000</v>
      </c>
      <c r="F39" s="273">
        <v>0</v>
      </c>
      <c r="G39" s="140">
        <v>2000</v>
      </c>
      <c r="H39" s="273">
        <v>0</v>
      </c>
      <c r="I39" s="140">
        <v>3000</v>
      </c>
      <c r="J39" s="273">
        <v>0</v>
      </c>
      <c r="K39" s="140">
        <v>3000</v>
      </c>
      <c r="L39" s="273">
        <v>0</v>
      </c>
      <c r="M39" s="58"/>
      <c r="N39" s="58"/>
      <c r="O39" s="117">
        <f t="shared" si="1"/>
        <v>185</v>
      </c>
      <c r="P39" s="83"/>
      <c r="Q39" s="84"/>
      <c r="R39" s="80" t="s">
        <v>101</v>
      </c>
      <c r="S39" s="67" t="s">
        <v>85</v>
      </c>
      <c r="T39" s="74" t="s">
        <v>366</v>
      </c>
      <c r="U39" s="63"/>
      <c r="W39" s="63"/>
      <c r="Y39" s="63"/>
      <c r="AA39" s="63"/>
      <c r="AB39" s="63"/>
      <c r="AD39" s="63"/>
      <c r="AE39" s="63"/>
    </row>
    <row r="40" spans="2:31" s="72" customFormat="1" ht="16.95" customHeight="1" x14ac:dyDescent="0.25">
      <c r="B40" s="119"/>
      <c r="E40" s="132"/>
      <c r="F40" s="277"/>
      <c r="G40" s="132"/>
      <c r="H40" s="277"/>
      <c r="I40" s="132"/>
      <c r="J40" s="277"/>
      <c r="K40" s="132"/>
      <c r="L40" s="284"/>
      <c r="O40" s="119"/>
      <c r="P40" s="73"/>
      <c r="Q40" s="74"/>
      <c r="R40" s="95"/>
      <c r="S40" s="75"/>
    </row>
    <row r="41" spans="2:31" ht="16.95" customHeight="1" x14ac:dyDescent="0.25">
      <c r="B41" s="159">
        <v>200</v>
      </c>
      <c r="C41" s="122" t="s">
        <v>26</v>
      </c>
      <c r="D41" s="58"/>
      <c r="E41" s="31">
        <f t="shared" ref="E41:L41" si="2">E42+E48+E51+E56+E61+E66</f>
        <v>76900</v>
      </c>
      <c r="F41" s="275">
        <f t="shared" si="2"/>
        <v>0</v>
      </c>
      <c r="G41" s="139">
        <f t="shared" si="2"/>
        <v>451800</v>
      </c>
      <c r="H41" s="278">
        <f t="shared" si="2"/>
        <v>7</v>
      </c>
      <c r="I41" s="139">
        <f t="shared" si="2"/>
        <v>828750</v>
      </c>
      <c r="J41" s="278">
        <f t="shared" si="2"/>
        <v>14</v>
      </c>
      <c r="K41" s="139">
        <f t="shared" si="2"/>
        <v>1216528.5</v>
      </c>
      <c r="L41" s="278">
        <f t="shared" si="2"/>
        <v>21</v>
      </c>
      <c r="M41" s="58"/>
      <c r="N41" s="58"/>
      <c r="O41" s="159">
        <f t="shared" ref="O41:O75" si="3">B41</f>
        <v>200</v>
      </c>
      <c r="P41" s="96"/>
      <c r="Q41" s="97"/>
      <c r="R41" s="98" t="str">
        <f>C41&amp;" - Calculates automatically."</f>
        <v>Instructional Services - Calculates automatically.</v>
      </c>
      <c r="S41" s="86" t="s">
        <v>102</v>
      </c>
      <c r="T41" s="122" t="s">
        <v>26</v>
      </c>
      <c r="U41" s="63"/>
      <c r="W41" s="63"/>
      <c r="Y41" s="63"/>
      <c r="AA41" s="63"/>
      <c r="AB41" s="63"/>
      <c r="AD41" s="63"/>
      <c r="AE41" s="63"/>
    </row>
    <row r="42" spans="2:31" ht="16.95" customHeight="1" x14ac:dyDescent="0.25">
      <c r="B42" s="120">
        <v>210</v>
      </c>
      <c r="C42" s="114" t="s">
        <v>103</v>
      </c>
      <c r="D42" s="58"/>
      <c r="E42" s="133">
        <f>SUM(E43:E47)</f>
        <v>9400</v>
      </c>
      <c r="F42" s="275">
        <f>F43+F44</f>
        <v>0</v>
      </c>
      <c r="G42" s="139">
        <f>SUM(G43:G47)</f>
        <v>124800</v>
      </c>
      <c r="H42" s="275">
        <f>H43+H44</f>
        <v>2</v>
      </c>
      <c r="I42" s="139">
        <f>SUM(I43:I47)</f>
        <v>128250</v>
      </c>
      <c r="J42" s="275">
        <f>J43+J44</f>
        <v>2</v>
      </c>
      <c r="K42" s="139">
        <f>SUM(K43:K47)</f>
        <v>131803.5</v>
      </c>
      <c r="L42" s="275">
        <f>L43+L44</f>
        <v>2</v>
      </c>
      <c r="M42" s="58"/>
      <c r="N42" s="58"/>
      <c r="O42" s="120">
        <f t="shared" si="3"/>
        <v>210</v>
      </c>
      <c r="P42" s="83"/>
      <c r="Q42" s="84"/>
      <c r="R42" s="80" t="s">
        <v>104</v>
      </c>
      <c r="S42" s="67" t="s">
        <v>105</v>
      </c>
      <c r="U42" s="63"/>
      <c r="W42" s="63"/>
      <c r="Y42" s="63"/>
      <c r="AA42" s="63"/>
      <c r="AB42" s="63"/>
      <c r="AD42" s="63"/>
      <c r="AE42" s="63"/>
    </row>
    <row r="43" spans="2:31" ht="16.95" customHeight="1" outlineLevel="1" x14ac:dyDescent="0.25">
      <c r="B43" s="117">
        <v>211</v>
      </c>
      <c r="C43" s="58" t="s">
        <v>63</v>
      </c>
      <c r="D43" s="58"/>
      <c r="E43" s="134">
        <v>6000</v>
      </c>
      <c r="F43" s="274">
        <v>0</v>
      </c>
      <c r="G43" s="140">
        <f>'Personnel Breakout'!F11+'Personnel Breakout'!F12</f>
        <v>115000</v>
      </c>
      <c r="H43" s="274">
        <v>2</v>
      </c>
      <c r="I43" s="140">
        <f>'Personnel Breakout'!G11+'Personnel Breakout'!G12</f>
        <v>118450</v>
      </c>
      <c r="J43" s="274">
        <v>2</v>
      </c>
      <c r="K43" s="140">
        <f>'Personnel Breakout'!H11+'Personnel Breakout'!H12</f>
        <v>122003.5</v>
      </c>
      <c r="L43" s="274">
        <v>2</v>
      </c>
      <c r="M43" s="58"/>
      <c r="N43" s="58"/>
      <c r="O43" s="117">
        <f t="shared" si="3"/>
        <v>211</v>
      </c>
      <c r="P43" s="83"/>
      <c r="Q43" s="84"/>
      <c r="R43" s="90" t="s">
        <v>106</v>
      </c>
      <c r="S43" s="67" t="s">
        <v>107</v>
      </c>
      <c r="T43" s="151" t="s">
        <v>612</v>
      </c>
      <c r="U43" s="63"/>
      <c r="W43" s="63"/>
      <c r="Y43" s="63"/>
      <c r="AA43" s="63"/>
      <c r="AB43" s="63"/>
      <c r="AD43" s="63"/>
      <c r="AE43" s="63"/>
    </row>
    <row r="44" spans="2:31" ht="16.95" customHeight="1" outlineLevel="1" x14ac:dyDescent="0.25">
      <c r="B44" s="117">
        <v>212</v>
      </c>
      <c r="C44" s="58" t="s">
        <v>95</v>
      </c>
      <c r="D44" s="58"/>
      <c r="E44" s="134">
        <v>0</v>
      </c>
      <c r="F44" s="274">
        <v>0</v>
      </c>
      <c r="G44" s="140">
        <v>0</v>
      </c>
      <c r="H44" s="274">
        <v>0</v>
      </c>
      <c r="I44" s="140">
        <v>0</v>
      </c>
      <c r="J44" s="274">
        <v>0</v>
      </c>
      <c r="K44" s="140">
        <v>0</v>
      </c>
      <c r="L44" s="274">
        <v>0</v>
      </c>
      <c r="M44" s="58"/>
      <c r="N44" s="58"/>
      <c r="O44" s="117">
        <f t="shared" si="3"/>
        <v>212</v>
      </c>
      <c r="P44" s="83"/>
      <c r="Q44" s="84"/>
      <c r="R44" s="91" t="s">
        <v>96</v>
      </c>
      <c r="S44" s="67" t="s">
        <v>107</v>
      </c>
      <c r="T44" s="95"/>
      <c r="U44" s="63"/>
      <c r="W44" s="63"/>
      <c r="Y44" s="63"/>
      <c r="AA44" s="63"/>
      <c r="AB44" s="63"/>
      <c r="AD44" s="63"/>
      <c r="AE44" s="63"/>
    </row>
    <row r="45" spans="2:31" ht="16.95" customHeight="1" outlineLevel="1" x14ac:dyDescent="0.25">
      <c r="B45" s="117">
        <v>213</v>
      </c>
      <c r="C45" s="58" t="s">
        <v>65</v>
      </c>
      <c r="D45" s="58"/>
      <c r="E45" s="134">
        <v>0</v>
      </c>
      <c r="F45" s="273">
        <v>0</v>
      </c>
      <c r="G45" s="140">
        <v>0</v>
      </c>
      <c r="H45" s="273">
        <v>0</v>
      </c>
      <c r="I45" s="140">
        <v>0</v>
      </c>
      <c r="J45" s="273">
        <v>0</v>
      </c>
      <c r="K45" s="140">
        <v>0</v>
      </c>
      <c r="L45" s="273">
        <v>0</v>
      </c>
      <c r="M45" s="58"/>
      <c r="N45" s="58"/>
      <c r="O45" s="117">
        <f t="shared" si="3"/>
        <v>213</v>
      </c>
      <c r="P45" s="83"/>
      <c r="Q45" s="84"/>
      <c r="R45" s="80" t="s">
        <v>66</v>
      </c>
      <c r="S45" s="67" t="s">
        <v>107</v>
      </c>
      <c r="T45" s="95"/>
      <c r="U45" s="63"/>
      <c r="W45" s="63"/>
      <c r="Y45" s="63"/>
      <c r="AA45" s="63"/>
      <c r="AB45" s="63"/>
      <c r="AD45" s="63"/>
      <c r="AE45" s="63"/>
    </row>
    <row r="46" spans="2:31" ht="16.95" customHeight="1" outlineLevel="1" x14ac:dyDescent="0.25">
      <c r="B46" s="117">
        <v>214</v>
      </c>
      <c r="C46" s="58" t="s">
        <v>83</v>
      </c>
      <c r="D46" s="58"/>
      <c r="E46" s="134">
        <v>1000</v>
      </c>
      <c r="F46" s="273">
        <v>0</v>
      </c>
      <c r="G46" s="140">
        <v>5000</v>
      </c>
      <c r="H46" s="273">
        <v>0</v>
      </c>
      <c r="I46" s="140">
        <v>5000</v>
      </c>
      <c r="J46" s="273">
        <v>0</v>
      </c>
      <c r="K46" s="140">
        <v>5000</v>
      </c>
      <c r="L46" s="273">
        <v>0</v>
      </c>
      <c r="M46" s="58"/>
      <c r="N46" s="58"/>
      <c r="O46" s="117">
        <f t="shared" si="3"/>
        <v>214</v>
      </c>
      <c r="P46" s="83"/>
      <c r="Q46" s="84"/>
      <c r="R46" s="80" t="s">
        <v>108</v>
      </c>
      <c r="S46" s="67" t="s">
        <v>107</v>
      </c>
      <c r="T46" s="95" t="s">
        <v>367</v>
      </c>
      <c r="U46" s="58"/>
      <c r="W46" s="63"/>
      <c r="Y46" s="63"/>
      <c r="AA46" s="63"/>
      <c r="AB46" s="63"/>
      <c r="AD46" s="63"/>
      <c r="AE46" s="63"/>
    </row>
    <row r="47" spans="2:31" ht="16.95" customHeight="1" outlineLevel="1" x14ac:dyDescent="0.25">
      <c r="B47" s="117">
        <v>215</v>
      </c>
      <c r="C47" s="58" t="s">
        <v>57</v>
      </c>
      <c r="D47" s="58"/>
      <c r="E47" s="134">
        <f>6*400</f>
        <v>2400</v>
      </c>
      <c r="F47" s="273">
        <v>0</v>
      </c>
      <c r="G47" s="140">
        <f>12*400</f>
        <v>4800</v>
      </c>
      <c r="H47" s="273">
        <v>0</v>
      </c>
      <c r="I47" s="140">
        <f>12*400</f>
        <v>4800</v>
      </c>
      <c r="J47" s="273">
        <v>0</v>
      </c>
      <c r="K47" s="140">
        <f>12*400</f>
        <v>4800</v>
      </c>
      <c r="L47" s="273">
        <v>0</v>
      </c>
      <c r="M47" s="58"/>
      <c r="N47" s="58"/>
      <c r="O47" s="117">
        <f t="shared" si="3"/>
        <v>215</v>
      </c>
      <c r="P47" s="83"/>
      <c r="Q47" s="82"/>
      <c r="R47" s="87" t="s">
        <v>109</v>
      </c>
      <c r="S47" s="67" t="s">
        <v>107</v>
      </c>
      <c r="T47" s="152" t="s">
        <v>613</v>
      </c>
      <c r="U47" s="58"/>
      <c r="W47" s="63"/>
      <c r="Y47" s="63"/>
      <c r="AA47" s="63"/>
      <c r="AB47" s="63"/>
      <c r="AD47" s="63"/>
      <c r="AE47" s="63"/>
    </row>
    <row r="48" spans="2:31" ht="16.95" customHeight="1" x14ac:dyDescent="0.25">
      <c r="B48" s="120">
        <v>220</v>
      </c>
      <c r="C48" s="114" t="s">
        <v>110</v>
      </c>
      <c r="D48" s="58"/>
      <c r="E48" s="133">
        <f>SUM(E49:E50)</f>
        <v>2000</v>
      </c>
      <c r="F48" s="275">
        <f>F49+F50</f>
        <v>0</v>
      </c>
      <c r="G48" s="139">
        <f>SUM(G49:G50)</f>
        <v>250000</v>
      </c>
      <c r="H48" s="275">
        <f>H49+H50</f>
        <v>5</v>
      </c>
      <c r="I48" s="139">
        <f>SUM(I49:I50)</f>
        <v>607500</v>
      </c>
      <c r="J48" s="275">
        <f>J49+J50</f>
        <v>12</v>
      </c>
      <c r="K48" s="139">
        <f>SUM(K49:K50)</f>
        <v>975725</v>
      </c>
      <c r="L48" s="275">
        <f>L49+L50</f>
        <v>19</v>
      </c>
      <c r="M48" s="58"/>
      <c r="N48" s="58"/>
      <c r="O48" s="120">
        <f t="shared" si="3"/>
        <v>220</v>
      </c>
      <c r="P48" s="89"/>
      <c r="Q48" s="88"/>
      <c r="R48" s="80" t="s">
        <v>111</v>
      </c>
      <c r="S48" s="67" t="s">
        <v>112</v>
      </c>
      <c r="U48" s="63"/>
      <c r="W48" s="63"/>
      <c r="Y48" s="63"/>
      <c r="AA48" s="63"/>
      <c r="AB48" s="63"/>
      <c r="AD48" s="63"/>
      <c r="AE48" s="63"/>
    </row>
    <row r="49" spans="2:31" ht="16.95" customHeight="1" outlineLevel="1" x14ac:dyDescent="0.25">
      <c r="B49" s="117">
        <v>221</v>
      </c>
      <c r="C49" s="58" t="s">
        <v>113</v>
      </c>
      <c r="D49" s="58"/>
      <c r="E49" s="134">
        <v>2000</v>
      </c>
      <c r="F49" s="274">
        <v>0</v>
      </c>
      <c r="G49" s="140">
        <f>'Personnel Breakout'!F24</f>
        <v>250000</v>
      </c>
      <c r="H49" s="274">
        <v>5</v>
      </c>
      <c r="I49" s="140">
        <f>'Personnel Breakout'!G24+'Personnel Breakout'!G33</f>
        <v>607500</v>
      </c>
      <c r="J49" s="274">
        <v>12</v>
      </c>
      <c r="K49" s="140">
        <f>'Personnel Breakout'!H24+'Personnel Breakout'!H33+'Personnel Breakout'!H42</f>
        <v>975725</v>
      </c>
      <c r="L49" s="274">
        <v>19</v>
      </c>
      <c r="M49" s="58"/>
      <c r="N49" s="58"/>
      <c r="O49" s="117">
        <f t="shared" si="3"/>
        <v>221</v>
      </c>
      <c r="P49" s="83"/>
      <c r="Q49" s="88"/>
      <c r="R49" s="80" t="s">
        <v>114</v>
      </c>
      <c r="S49" s="67" t="s">
        <v>115</v>
      </c>
      <c r="T49" s="151" t="s">
        <v>612</v>
      </c>
      <c r="U49" s="63"/>
      <c r="W49" s="63"/>
      <c r="Y49" s="63"/>
      <c r="AA49" s="63"/>
      <c r="AB49" s="63"/>
      <c r="AD49" s="63"/>
      <c r="AE49" s="63"/>
    </row>
    <row r="50" spans="2:31" ht="16.95" customHeight="1" outlineLevel="1" x14ac:dyDescent="0.25">
      <c r="B50" s="117">
        <v>222</v>
      </c>
      <c r="C50" s="58" t="s">
        <v>116</v>
      </c>
      <c r="D50" s="58"/>
      <c r="E50" s="134">
        <v>0</v>
      </c>
      <c r="F50" s="274">
        <v>0</v>
      </c>
      <c r="G50" s="140">
        <v>0</v>
      </c>
      <c r="H50" s="274">
        <v>0</v>
      </c>
      <c r="I50" s="140">
        <v>0</v>
      </c>
      <c r="J50" s="274">
        <v>0</v>
      </c>
      <c r="K50" s="140">
        <v>0</v>
      </c>
      <c r="L50" s="274">
        <v>0</v>
      </c>
      <c r="M50" s="58"/>
      <c r="N50" s="58"/>
      <c r="O50" s="117">
        <f t="shared" si="3"/>
        <v>222</v>
      </c>
      <c r="P50" s="83"/>
      <c r="Q50" s="88"/>
      <c r="R50" s="80" t="s">
        <v>114</v>
      </c>
      <c r="S50" s="67" t="s">
        <v>117</v>
      </c>
      <c r="T50" s="101" t="s">
        <v>619</v>
      </c>
      <c r="U50" s="63"/>
      <c r="W50" s="63"/>
      <c r="Y50" s="63"/>
      <c r="AA50" s="63"/>
      <c r="AB50" s="63"/>
      <c r="AD50" s="63"/>
      <c r="AE50" s="63"/>
    </row>
    <row r="51" spans="2:31" ht="16.95" customHeight="1" x14ac:dyDescent="0.25">
      <c r="B51" s="120">
        <v>230</v>
      </c>
      <c r="C51" s="114" t="s">
        <v>118</v>
      </c>
      <c r="D51" s="58"/>
      <c r="E51" s="133">
        <f>SUM(E52:E55)</f>
        <v>0</v>
      </c>
      <c r="F51" s="275">
        <f>F52+F53+F54</f>
        <v>0</v>
      </c>
      <c r="G51" s="139">
        <f>SUM(G52:G55)</f>
        <v>0</v>
      </c>
      <c r="H51" s="275">
        <f>H52+H53+H54</f>
        <v>0</v>
      </c>
      <c r="I51" s="139">
        <f>SUM(I52:I55)</f>
        <v>0</v>
      </c>
      <c r="J51" s="275">
        <f>J52+J53+J54</f>
        <v>0</v>
      </c>
      <c r="K51" s="139">
        <f>SUM(K52:K55)</f>
        <v>0</v>
      </c>
      <c r="L51" s="275">
        <f>L52+L53+L54</f>
        <v>0</v>
      </c>
      <c r="M51" s="58"/>
      <c r="N51" s="58"/>
      <c r="O51" s="120">
        <f t="shared" si="3"/>
        <v>230</v>
      </c>
      <c r="P51" s="89"/>
      <c r="Q51" s="88"/>
      <c r="R51" s="80" t="s">
        <v>119</v>
      </c>
      <c r="S51" s="67" t="s">
        <v>112</v>
      </c>
      <c r="U51" s="63"/>
      <c r="W51" s="63"/>
      <c r="Y51" s="63"/>
      <c r="AA51" s="63"/>
      <c r="AB51" s="63"/>
      <c r="AD51" s="63"/>
      <c r="AE51" s="63"/>
    </row>
    <row r="52" spans="2:31" ht="16.95" customHeight="1" outlineLevel="1" x14ac:dyDescent="0.25">
      <c r="B52" s="117">
        <v>231</v>
      </c>
      <c r="C52" s="58" t="s">
        <v>63</v>
      </c>
      <c r="D52" s="58"/>
      <c r="E52" s="134">
        <v>0</v>
      </c>
      <c r="F52" s="274">
        <v>0</v>
      </c>
      <c r="G52" s="140">
        <v>0</v>
      </c>
      <c r="H52" s="274">
        <v>0</v>
      </c>
      <c r="I52" s="140">
        <v>0</v>
      </c>
      <c r="J52" s="274">
        <v>0</v>
      </c>
      <c r="K52" s="140">
        <v>0</v>
      </c>
      <c r="L52" s="274">
        <v>0</v>
      </c>
      <c r="M52" s="58"/>
      <c r="N52" s="58"/>
      <c r="O52" s="117">
        <f t="shared" si="3"/>
        <v>231</v>
      </c>
      <c r="P52" s="83"/>
      <c r="Q52" s="88"/>
      <c r="R52" s="90" t="s">
        <v>120</v>
      </c>
      <c r="S52" s="67" t="s">
        <v>121</v>
      </c>
      <c r="U52" s="63"/>
      <c r="W52" s="63"/>
      <c r="Y52" s="63"/>
      <c r="AA52" s="63"/>
      <c r="AB52" s="63"/>
      <c r="AD52" s="63"/>
      <c r="AE52" s="63"/>
    </row>
    <row r="53" spans="2:31" ht="16.95" customHeight="1" outlineLevel="1" x14ac:dyDescent="0.25">
      <c r="B53" s="117">
        <v>232</v>
      </c>
      <c r="C53" s="58" t="s">
        <v>122</v>
      </c>
      <c r="D53" s="58"/>
      <c r="E53" s="134">
        <v>0</v>
      </c>
      <c r="F53" s="274">
        <v>0</v>
      </c>
      <c r="G53" s="140">
        <v>0</v>
      </c>
      <c r="H53" s="274">
        <v>0</v>
      </c>
      <c r="I53" s="140">
        <v>0</v>
      </c>
      <c r="J53" s="274">
        <v>0</v>
      </c>
      <c r="K53" s="140">
        <v>0</v>
      </c>
      <c r="L53" s="274">
        <v>0</v>
      </c>
      <c r="M53" s="58"/>
      <c r="N53" s="58"/>
      <c r="O53" s="117">
        <f t="shared" si="3"/>
        <v>232</v>
      </c>
      <c r="P53" s="83"/>
      <c r="Q53" s="88"/>
      <c r="R53" s="80" t="s">
        <v>123</v>
      </c>
      <c r="S53" s="67" t="s">
        <v>124</v>
      </c>
      <c r="U53" s="63"/>
      <c r="W53" s="63"/>
      <c r="Y53" s="63"/>
      <c r="AA53" s="63"/>
      <c r="AB53" s="63"/>
      <c r="AD53" s="63"/>
      <c r="AE53" s="63"/>
    </row>
    <row r="54" spans="2:31" ht="16.95" customHeight="1" outlineLevel="1" x14ac:dyDescent="0.25">
      <c r="B54" s="117">
        <v>233</v>
      </c>
      <c r="C54" s="58" t="s">
        <v>95</v>
      </c>
      <c r="D54" s="58"/>
      <c r="E54" s="134">
        <v>0</v>
      </c>
      <c r="F54" s="274">
        <v>0</v>
      </c>
      <c r="G54" s="140">
        <v>0</v>
      </c>
      <c r="H54" s="274">
        <v>0</v>
      </c>
      <c r="I54" s="140">
        <v>0</v>
      </c>
      <c r="J54" s="274">
        <v>0</v>
      </c>
      <c r="K54" s="140">
        <v>0</v>
      </c>
      <c r="L54" s="274">
        <v>0</v>
      </c>
      <c r="M54" s="58"/>
      <c r="N54" s="58"/>
      <c r="O54" s="117">
        <f t="shared" si="3"/>
        <v>233</v>
      </c>
      <c r="P54" s="83"/>
      <c r="Q54" s="88"/>
      <c r="R54" s="91" t="s">
        <v>96</v>
      </c>
      <c r="S54" s="67" t="s">
        <v>121</v>
      </c>
      <c r="U54" s="63"/>
      <c r="W54" s="63"/>
      <c r="Y54" s="63"/>
      <c r="AA54" s="63"/>
      <c r="AB54" s="63"/>
      <c r="AD54" s="63"/>
      <c r="AE54" s="63"/>
    </row>
    <row r="55" spans="2:31" ht="16.95" customHeight="1" outlineLevel="1" x14ac:dyDescent="0.25">
      <c r="B55" s="117">
        <v>234</v>
      </c>
      <c r="C55" s="58" t="s">
        <v>65</v>
      </c>
      <c r="D55" s="58"/>
      <c r="E55" s="134">
        <v>0</v>
      </c>
      <c r="F55" s="273">
        <v>0</v>
      </c>
      <c r="G55" s="140">
        <v>0</v>
      </c>
      <c r="H55" s="273">
        <v>0</v>
      </c>
      <c r="I55" s="140">
        <v>0</v>
      </c>
      <c r="J55" s="273">
        <v>0</v>
      </c>
      <c r="K55" s="140">
        <v>0</v>
      </c>
      <c r="L55" s="273">
        <v>0</v>
      </c>
      <c r="M55" s="58"/>
      <c r="N55" s="58"/>
      <c r="O55" s="117">
        <f t="shared" si="3"/>
        <v>234</v>
      </c>
      <c r="P55" s="89"/>
      <c r="Q55" s="88"/>
      <c r="R55" s="80" t="s">
        <v>125</v>
      </c>
      <c r="S55" s="67" t="s">
        <v>121</v>
      </c>
      <c r="T55" s="95"/>
      <c r="U55" s="63"/>
      <c r="W55" s="63"/>
      <c r="Y55" s="63"/>
      <c r="AA55" s="63"/>
      <c r="AB55" s="63"/>
      <c r="AD55" s="63"/>
      <c r="AE55" s="63"/>
    </row>
    <row r="56" spans="2:31" ht="16.95" customHeight="1" x14ac:dyDescent="0.25">
      <c r="B56" s="120">
        <v>240</v>
      </c>
      <c r="C56" s="114" t="s">
        <v>126</v>
      </c>
      <c r="D56" s="58"/>
      <c r="E56" s="133">
        <f>SUM(E57:E60)</f>
        <v>3500</v>
      </c>
      <c r="F56" s="275">
        <f>F57</f>
        <v>0</v>
      </c>
      <c r="G56" s="139">
        <f>SUM(G57:G60)</f>
        <v>7000</v>
      </c>
      <c r="H56" s="275">
        <f>H57</f>
        <v>0</v>
      </c>
      <c r="I56" s="139">
        <f>SUM(I57:I60)</f>
        <v>13000</v>
      </c>
      <c r="J56" s="275">
        <f>J57</f>
        <v>0</v>
      </c>
      <c r="K56" s="139">
        <f>SUM(K57:K60)</f>
        <v>19000</v>
      </c>
      <c r="L56" s="275">
        <f>L57</f>
        <v>0</v>
      </c>
      <c r="M56" s="58"/>
      <c r="N56" s="58"/>
      <c r="O56" s="120">
        <f t="shared" si="3"/>
        <v>240</v>
      </c>
      <c r="P56" s="83"/>
      <c r="Q56" s="82"/>
      <c r="R56" s="87" t="s">
        <v>127</v>
      </c>
      <c r="S56" s="67" t="s">
        <v>128</v>
      </c>
      <c r="U56" s="63"/>
      <c r="W56" s="63"/>
      <c r="Y56" s="63"/>
      <c r="AA56" s="63"/>
      <c r="AB56" s="63"/>
      <c r="AD56" s="63"/>
      <c r="AE56" s="63"/>
    </row>
    <row r="57" spans="2:31" ht="16.95" customHeight="1" outlineLevel="1" x14ac:dyDescent="0.25">
      <c r="B57" s="117">
        <v>241</v>
      </c>
      <c r="C57" s="58" t="s">
        <v>63</v>
      </c>
      <c r="D57" s="58"/>
      <c r="E57" s="134">
        <v>0</v>
      </c>
      <c r="F57" s="274">
        <v>0</v>
      </c>
      <c r="G57" s="140">
        <v>0</v>
      </c>
      <c r="H57" s="274">
        <v>0</v>
      </c>
      <c r="I57" s="140">
        <v>0</v>
      </c>
      <c r="J57" s="274">
        <v>0</v>
      </c>
      <c r="K57" s="140">
        <v>0</v>
      </c>
      <c r="L57" s="274">
        <v>0</v>
      </c>
      <c r="M57" s="58"/>
      <c r="N57" s="58"/>
      <c r="O57" s="117">
        <f t="shared" si="3"/>
        <v>241</v>
      </c>
      <c r="P57" s="83"/>
      <c r="Q57" s="88"/>
      <c r="R57" s="87" t="s">
        <v>129</v>
      </c>
      <c r="S57" s="67" t="s">
        <v>130</v>
      </c>
      <c r="U57" s="63"/>
      <c r="W57" s="63"/>
      <c r="Y57" s="63"/>
      <c r="AA57" s="63"/>
      <c r="AB57" s="63"/>
      <c r="AD57" s="63"/>
      <c r="AE57" s="63"/>
    </row>
    <row r="58" spans="2:31" ht="16.95" customHeight="1" outlineLevel="1" x14ac:dyDescent="0.25">
      <c r="B58" s="117">
        <v>242</v>
      </c>
      <c r="C58" s="58" t="s">
        <v>65</v>
      </c>
      <c r="D58" s="58"/>
      <c r="E58" s="134">
        <f>'Cash Paid to Vendors'!F19</f>
        <v>1000</v>
      </c>
      <c r="F58" s="273">
        <v>0</v>
      </c>
      <c r="G58" s="140">
        <f>'Cash Paid to Vendors'!G19</f>
        <v>2000</v>
      </c>
      <c r="H58" s="273">
        <v>0</v>
      </c>
      <c r="I58" s="140">
        <f>'Cash Paid to Vendors'!H19</f>
        <v>3000</v>
      </c>
      <c r="J58" s="273">
        <v>0</v>
      </c>
      <c r="K58" s="140">
        <f>'Cash Paid to Vendors'!I19</f>
        <v>4000</v>
      </c>
      <c r="L58" s="273">
        <v>0</v>
      </c>
      <c r="M58" s="58"/>
      <c r="N58" s="58"/>
      <c r="O58" s="117">
        <f t="shared" si="3"/>
        <v>242</v>
      </c>
      <c r="P58" s="83"/>
      <c r="Q58" s="82"/>
      <c r="R58" s="80" t="s">
        <v>131</v>
      </c>
      <c r="S58" s="67" t="s">
        <v>130</v>
      </c>
      <c r="T58" s="153" t="s">
        <v>623</v>
      </c>
      <c r="U58" s="63"/>
      <c r="W58" s="63"/>
      <c r="Y58" s="63"/>
      <c r="AA58" s="63"/>
      <c r="AB58" s="63"/>
      <c r="AD58" s="63"/>
      <c r="AE58" s="63"/>
    </row>
    <row r="59" spans="2:31" ht="16.95" customHeight="1" outlineLevel="1" x14ac:dyDescent="0.25">
      <c r="B59" s="117">
        <v>243</v>
      </c>
      <c r="C59" s="58" t="s">
        <v>83</v>
      </c>
      <c r="D59" s="58"/>
      <c r="E59" s="134">
        <v>0</v>
      </c>
      <c r="F59" s="273">
        <v>0</v>
      </c>
      <c r="G59" s="140">
        <v>0</v>
      </c>
      <c r="H59" s="273">
        <v>0</v>
      </c>
      <c r="I59" s="140">
        <v>0</v>
      </c>
      <c r="J59" s="273">
        <v>0</v>
      </c>
      <c r="K59" s="140">
        <v>0</v>
      </c>
      <c r="L59" s="273">
        <v>0</v>
      </c>
      <c r="M59" s="58"/>
      <c r="N59" s="58"/>
      <c r="O59" s="117">
        <f t="shared" si="3"/>
        <v>243</v>
      </c>
      <c r="P59" s="83"/>
      <c r="Q59" s="82"/>
      <c r="R59" s="80" t="s">
        <v>108</v>
      </c>
      <c r="S59" s="67" t="s">
        <v>130</v>
      </c>
      <c r="T59" s="95"/>
      <c r="U59" s="63"/>
      <c r="W59" s="63"/>
      <c r="Y59" s="63"/>
      <c r="AA59" s="63"/>
      <c r="AB59" s="63"/>
      <c r="AD59" s="63"/>
      <c r="AE59" s="63"/>
    </row>
    <row r="60" spans="2:31" ht="16.95" customHeight="1" outlineLevel="1" x14ac:dyDescent="0.25">
      <c r="B60" s="117">
        <v>244</v>
      </c>
      <c r="C60" s="58" t="s">
        <v>57</v>
      </c>
      <c r="D60" s="58"/>
      <c r="E60" s="134">
        <v>2500</v>
      </c>
      <c r="F60" s="273">
        <v>0</v>
      </c>
      <c r="G60" s="140">
        <v>5000</v>
      </c>
      <c r="H60" s="273">
        <v>0</v>
      </c>
      <c r="I60" s="140">
        <v>10000</v>
      </c>
      <c r="J60" s="273">
        <v>0</v>
      </c>
      <c r="K60" s="140">
        <v>15000</v>
      </c>
      <c r="L60" s="273">
        <v>0</v>
      </c>
      <c r="M60" s="58"/>
      <c r="N60" s="58"/>
      <c r="O60" s="117">
        <f t="shared" si="3"/>
        <v>244</v>
      </c>
      <c r="P60" s="83"/>
      <c r="Q60" s="82"/>
      <c r="R60" s="87" t="s">
        <v>109</v>
      </c>
      <c r="S60" s="67" t="s">
        <v>130</v>
      </c>
      <c r="T60" s="152" t="s">
        <v>621</v>
      </c>
      <c r="U60" s="63"/>
      <c r="W60" s="63"/>
      <c r="Y60" s="63"/>
      <c r="AA60" s="63"/>
      <c r="AB60" s="63"/>
      <c r="AD60" s="63"/>
      <c r="AE60" s="63"/>
    </row>
    <row r="61" spans="2:31" ht="16.95" customHeight="1" x14ac:dyDescent="0.25">
      <c r="B61" s="120">
        <v>250</v>
      </c>
      <c r="C61" s="114" t="s">
        <v>132</v>
      </c>
      <c r="D61" s="58"/>
      <c r="E61" s="133">
        <f>SUM(E62:E65)</f>
        <v>1000</v>
      </c>
      <c r="F61" s="275">
        <f>F62+F63</f>
        <v>0</v>
      </c>
      <c r="G61" s="139">
        <f>SUM(G62:G65)</f>
        <v>10000</v>
      </c>
      <c r="H61" s="275">
        <f>H62+H63</f>
        <v>0</v>
      </c>
      <c r="I61" s="139">
        <f>SUM(I62:I65)</f>
        <v>15000</v>
      </c>
      <c r="J61" s="275">
        <f>J62+J63</f>
        <v>0</v>
      </c>
      <c r="K61" s="139">
        <f>SUM(K62:K65)</f>
        <v>20000</v>
      </c>
      <c r="L61" s="275">
        <f>L62+L63</f>
        <v>0</v>
      </c>
      <c r="M61" s="58"/>
      <c r="N61" s="58"/>
      <c r="O61" s="120">
        <f t="shared" si="3"/>
        <v>250</v>
      </c>
      <c r="P61" s="89"/>
      <c r="Q61" s="88"/>
      <c r="R61" s="80" t="s">
        <v>133</v>
      </c>
      <c r="S61" s="67" t="s">
        <v>134</v>
      </c>
      <c r="U61" s="63"/>
      <c r="W61" s="63"/>
      <c r="Y61" s="63"/>
      <c r="AA61" s="63"/>
      <c r="AB61" s="63"/>
      <c r="AD61" s="63"/>
      <c r="AE61" s="63"/>
    </row>
    <row r="62" spans="2:31" ht="16.95" customHeight="1" outlineLevel="1" x14ac:dyDescent="0.25">
      <c r="B62" s="117">
        <v>251</v>
      </c>
      <c r="C62" s="58" t="s">
        <v>63</v>
      </c>
      <c r="D62" s="58"/>
      <c r="E62" s="134">
        <v>0</v>
      </c>
      <c r="F62" s="274">
        <v>0</v>
      </c>
      <c r="G62" s="140">
        <v>0</v>
      </c>
      <c r="H62" s="274">
        <v>0</v>
      </c>
      <c r="I62" s="140">
        <v>0</v>
      </c>
      <c r="J62" s="274">
        <v>0</v>
      </c>
      <c r="K62" s="140">
        <v>0</v>
      </c>
      <c r="L62" s="274">
        <v>0</v>
      </c>
      <c r="M62" s="58"/>
      <c r="N62" s="58"/>
      <c r="O62" s="117">
        <f t="shared" si="3"/>
        <v>251</v>
      </c>
      <c r="P62" s="83"/>
      <c r="Q62" s="88"/>
      <c r="R62" s="90" t="s">
        <v>135</v>
      </c>
      <c r="S62" s="67" t="s">
        <v>136</v>
      </c>
      <c r="U62" s="63"/>
      <c r="W62" s="63"/>
      <c r="Y62" s="63"/>
      <c r="AA62" s="63"/>
      <c r="AB62" s="63"/>
      <c r="AD62" s="63"/>
      <c r="AE62" s="63"/>
    </row>
    <row r="63" spans="2:31" ht="16.95" customHeight="1" outlineLevel="1" x14ac:dyDescent="0.25">
      <c r="B63" s="117">
        <v>252</v>
      </c>
      <c r="C63" s="58" t="s">
        <v>95</v>
      </c>
      <c r="D63" s="58"/>
      <c r="E63" s="134">
        <v>0</v>
      </c>
      <c r="F63" s="274">
        <v>0</v>
      </c>
      <c r="G63" s="140">
        <v>0</v>
      </c>
      <c r="H63" s="274">
        <v>0</v>
      </c>
      <c r="I63" s="140">
        <v>0</v>
      </c>
      <c r="J63" s="274">
        <v>0</v>
      </c>
      <c r="K63" s="140">
        <v>0</v>
      </c>
      <c r="L63" s="274">
        <v>0</v>
      </c>
      <c r="M63" s="58"/>
      <c r="N63" s="58"/>
      <c r="O63" s="117">
        <f t="shared" si="3"/>
        <v>252</v>
      </c>
      <c r="P63" s="83"/>
      <c r="Q63" s="88"/>
      <c r="R63" s="91" t="s">
        <v>96</v>
      </c>
      <c r="S63" s="67" t="s">
        <v>136</v>
      </c>
      <c r="U63" s="63"/>
      <c r="W63" s="63"/>
      <c r="Y63" s="63"/>
      <c r="AA63" s="63"/>
      <c r="AB63" s="63"/>
      <c r="AD63" s="63"/>
      <c r="AE63" s="63"/>
    </row>
    <row r="64" spans="2:31" ht="16.95" customHeight="1" outlineLevel="1" x14ac:dyDescent="0.25">
      <c r="B64" s="117">
        <v>253</v>
      </c>
      <c r="C64" s="58" t="s">
        <v>65</v>
      </c>
      <c r="D64" s="58"/>
      <c r="E64" s="134">
        <f>'Cash Paid to Vendors'!F20</f>
        <v>0</v>
      </c>
      <c r="F64" s="273">
        <v>0</v>
      </c>
      <c r="G64" s="140">
        <f>'Cash Paid to Vendors'!G20</f>
        <v>5000</v>
      </c>
      <c r="H64" s="273">
        <v>0</v>
      </c>
      <c r="I64" s="140">
        <f>'Cash Paid to Vendors'!H20</f>
        <v>10000</v>
      </c>
      <c r="J64" s="273">
        <v>0</v>
      </c>
      <c r="K64" s="140">
        <f>'Cash Paid to Vendors'!I20</f>
        <v>15000</v>
      </c>
      <c r="L64" s="273">
        <v>0</v>
      </c>
      <c r="M64" s="58"/>
      <c r="N64" s="58"/>
      <c r="O64" s="117">
        <f t="shared" si="3"/>
        <v>253</v>
      </c>
      <c r="P64" s="89"/>
      <c r="Q64" s="88"/>
      <c r="R64" s="80" t="s">
        <v>137</v>
      </c>
      <c r="S64" s="67" t="s">
        <v>136</v>
      </c>
      <c r="T64" s="95" t="s">
        <v>624</v>
      </c>
      <c r="U64" s="63"/>
      <c r="W64" s="63"/>
      <c r="Y64" s="63"/>
      <c r="AA64" s="63"/>
      <c r="AB64" s="63"/>
      <c r="AD64" s="63"/>
      <c r="AE64" s="63"/>
    </row>
    <row r="65" spans="2:31" ht="16.95" customHeight="1" outlineLevel="1" x14ac:dyDescent="0.25">
      <c r="B65" s="117">
        <v>254</v>
      </c>
      <c r="C65" s="58" t="s">
        <v>83</v>
      </c>
      <c r="D65" s="58"/>
      <c r="E65" s="134">
        <v>1000</v>
      </c>
      <c r="F65" s="273">
        <v>0</v>
      </c>
      <c r="G65" s="140">
        <v>5000</v>
      </c>
      <c r="H65" s="273">
        <v>0</v>
      </c>
      <c r="I65" s="140">
        <v>5000</v>
      </c>
      <c r="J65" s="273">
        <v>0</v>
      </c>
      <c r="K65" s="140">
        <v>5000</v>
      </c>
      <c r="L65" s="273">
        <v>0</v>
      </c>
      <c r="M65" s="58"/>
      <c r="N65" s="58"/>
      <c r="O65" s="117">
        <f t="shared" si="3"/>
        <v>254</v>
      </c>
      <c r="P65" s="89"/>
      <c r="Q65" s="88"/>
      <c r="R65" s="80" t="s">
        <v>108</v>
      </c>
      <c r="S65" s="67" t="s">
        <v>136</v>
      </c>
      <c r="T65" s="95" t="s">
        <v>514</v>
      </c>
      <c r="U65" s="63"/>
      <c r="W65" s="63"/>
      <c r="Y65" s="63"/>
      <c r="AA65" s="63"/>
      <c r="AB65" s="63"/>
      <c r="AD65" s="63"/>
      <c r="AE65" s="63"/>
    </row>
    <row r="66" spans="2:31" ht="16.95" customHeight="1" x14ac:dyDescent="0.25">
      <c r="B66" s="120">
        <v>260</v>
      </c>
      <c r="C66" s="114" t="s">
        <v>138</v>
      </c>
      <c r="D66" s="58"/>
      <c r="E66" s="133">
        <f>SUM(E67:E75)</f>
        <v>61000</v>
      </c>
      <c r="F66" s="273">
        <v>0</v>
      </c>
      <c r="G66" s="139">
        <f>SUM(G67:G75)</f>
        <v>60000</v>
      </c>
      <c r="H66" s="273">
        <v>0</v>
      </c>
      <c r="I66" s="139">
        <f>SUM(I67:I75)</f>
        <v>65000</v>
      </c>
      <c r="J66" s="273">
        <v>0</v>
      </c>
      <c r="K66" s="139">
        <f>SUM(K67:K75)</f>
        <v>70000</v>
      </c>
      <c r="L66" s="273">
        <v>0</v>
      </c>
      <c r="M66" s="58"/>
      <c r="N66" s="58"/>
      <c r="O66" s="120">
        <f t="shared" si="3"/>
        <v>260</v>
      </c>
      <c r="P66" s="83"/>
      <c r="Q66" s="82"/>
      <c r="R66" s="80" t="s">
        <v>139</v>
      </c>
      <c r="S66" s="67">
        <v>2451</v>
      </c>
      <c r="U66" s="63"/>
      <c r="W66" s="63"/>
      <c r="Y66" s="63"/>
      <c r="AA66" s="63"/>
      <c r="AB66" s="63"/>
      <c r="AD66" s="63"/>
      <c r="AE66" s="63"/>
    </row>
    <row r="67" spans="2:31" ht="16.95" customHeight="1" outlineLevel="1" x14ac:dyDescent="0.25">
      <c r="B67" s="117">
        <v>261</v>
      </c>
      <c r="C67" s="58" t="s">
        <v>140</v>
      </c>
      <c r="D67" s="58"/>
      <c r="E67" s="134">
        <f>'Cash Paid to Vendors'!F21</f>
        <v>25000</v>
      </c>
      <c r="F67" s="273">
        <v>0</v>
      </c>
      <c r="G67" s="140">
        <f>'Cash Paid to Vendors'!G21</f>
        <v>25000</v>
      </c>
      <c r="H67" s="273">
        <v>0</v>
      </c>
      <c r="I67" s="140">
        <f>'Cash Paid to Vendors'!H21</f>
        <v>25000</v>
      </c>
      <c r="J67" s="273">
        <v>0</v>
      </c>
      <c r="K67" s="140">
        <f>'Cash Paid to Vendors'!I21</f>
        <v>25000</v>
      </c>
      <c r="L67" s="273">
        <v>0</v>
      </c>
      <c r="M67" s="58"/>
      <c r="N67" s="58"/>
      <c r="O67" s="117">
        <f t="shared" si="3"/>
        <v>261</v>
      </c>
      <c r="P67" s="83"/>
      <c r="Q67" s="82"/>
      <c r="R67" s="80" t="s">
        <v>141</v>
      </c>
      <c r="S67" s="67" t="s">
        <v>142</v>
      </c>
      <c r="T67" s="154" t="s">
        <v>625</v>
      </c>
      <c r="U67" s="63"/>
      <c r="W67" s="63"/>
      <c r="Y67" s="63"/>
      <c r="AA67" s="63"/>
      <c r="AB67" s="63"/>
      <c r="AD67" s="63"/>
      <c r="AE67" s="63"/>
    </row>
    <row r="68" spans="2:31" ht="16.95" customHeight="1" outlineLevel="1" x14ac:dyDescent="0.25">
      <c r="B68" s="117">
        <v>262</v>
      </c>
      <c r="C68" s="58" t="s">
        <v>143</v>
      </c>
      <c r="D68" s="58"/>
      <c r="E68" s="134">
        <f>'Cash Paid to Vendors'!F22</f>
        <v>1000</v>
      </c>
      <c r="F68" s="273">
        <v>0</v>
      </c>
      <c r="G68" s="140">
        <f>'Cash Paid to Vendors'!G22</f>
        <v>5000</v>
      </c>
      <c r="H68" s="273">
        <v>0</v>
      </c>
      <c r="I68" s="140">
        <f>'Cash Paid to Vendors'!H22</f>
        <v>10000</v>
      </c>
      <c r="J68" s="273">
        <v>0</v>
      </c>
      <c r="K68" s="140">
        <f>'Cash Paid to Vendors'!I22</f>
        <v>15000</v>
      </c>
      <c r="L68" s="273">
        <v>0</v>
      </c>
      <c r="M68" s="58"/>
      <c r="N68" s="58"/>
      <c r="O68" s="117">
        <f t="shared" si="3"/>
        <v>262</v>
      </c>
      <c r="P68" s="83"/>
      <c r="Q68" s="82"/>
      <c r="R68" s="80" t="s">
        <v>144</v>
      </c>
      <c r="S68" s="67" t="s">
        <v>145</v>
      </c>
      <c r="T68" s="154" t="s">
        <v>626</v>
      </c>
      <c r="U68" s="63"/>
      <c r="W68" s="63"/>
      <c r="Y68" s="63"/>
      <c r="AA68" s="63"/>
      <c r="AB68" s="63"/>
      <c r="AD68" s="63"/>
      <c r="AE68" s="63"/>
    </row>
    <row r="69" spans="2:31" ht="16.95" customHeight="1" outlineLevel="1" x14ac:dyDescent="0.25">
      <c r="B69" s="117">
        <v>263</v>
      </c>
      <c r="C69" s="58" t="s">
        <v>146</v>
      </c>
      <c r="D69" s="58"/>
      <c r="E69" s="134">
        <f>'Cash Paid to Vendors'!F23</f>
        <v>10000</v>
      </c>
      <c r="F69" s="273">
        <v>0</v>
      </c>
      <c r="G69" s="140">
        <f>'Cash Paid to Vendors'!G23</f>
        <v>10000</v>
      </c>
      <c r="H69" s="273">
        <v>0</v>
      </c>
      <c r="I69" s="140">
        <f>'Cash Paid to Vendors'!H23</f>
        <v>10000</v>
      </c>
      <c r="J69" s="273">
        <v>0</v>
      </c>
      <c r="K69" s="140">
        <f>'Cash Paid to Vendors'!I23</f>
        <v>10000</v>
      </c>
      <c r="L69" s="273">
        <v>0</v>
      </c>
      <c r="M69" s="58"/>
      <c r="N69" s="58"/>
      <c r="O69" s="117">
        <f t="shared" si="3"/>
        <v>263</v>
      </c>
      <c r="P69" s="83"/>
      <c r="Q69" s="82"/>
      <c r="R69" s="80" t="s">
        <v>147</v>
      </c>
      <c r="S69" s="67" t="s">
        <v>148</v>
      </c>
      <c r="T69" s="154" t="s">
        <v>627</v>
      </c>
      <c r="U69" s="63"/>
      <c r="W69" s="63"/>
      <c r="Y69" s="63"/>
      <c r="AA69" s="63"/>
      <c r="AB69" s="63"/>
      <c r="AD69" s="63"/>
      <c r="AE69" s="63"/>
    </row>
    <row r="70" spans="2:31" ht="16.95" customHeight="1" outlineLevel="1" x14ac:dyDescent="0.25">
      <c r="B70" s="117">
        <v>264</v>
      </c>
      <c r="C70" s="58" t="s">
        <v>149</v>
      </c>
      <c r="D70" s="58"/>
      <c r="E70" s="134">
        <v>0</v>
      </c>
      <c r="F70" s="273">
        <v>0</v>
      </c>
      <c r="G70" s="140">
        <v>0</v>
      </c>
      <c r="H70" s="273">
        <v>0</v>
      </c>
      <c r="I70" s="140">
        <v>0</v>
      </c>
      <c r="J70" s="273">
        <v>0</v>
      </c>
      <c r="K70" s="140">
        <v>0</v>
      </c>
      <c r="L70" s="273">
        <v>0</v>
      </c>
      <c r="M70" s="58"/>
      <c r="N70" s="58"/>
      <c r="O70" s="117">
        <f t="shared" si="3"/>
        <v>264</v>
      </c>
      <c r="P70" s="83"/>
      <c r="Q70" s="82"/>
      <c r="R70" s="80" t="s">
        <v>150</v>
      </c>
      <c r="S70" s="67" t="s">
        <v>151</v>
      </c>
      <c r="T70" s="95"/>
      <c r="U70" s="63"/>
      <c r="W70" s="63"/>
      <c r="Y70" s="63"/>
      <c r="AA70" s="63"/>
      <c r="AB70" s="63"/>
      <c r="AD70" s="63"/>
      <c r="AE70" s="63"/>
    </row>
    <row r="71" spans="2:31" ht="16.95" customHeight="1" outlineLevel="1" x14ac:dyDescent="0.25">
      <c r="B71" s="117">
        <v>265</v>
      </c>
      <c r="C71" s="58" t="s">
        <v>152</v>
      </c>
      <c r="D71" s="58"/>
      <c r="E71" s="134">
        <v>0</v>
      </c>
      <c r="F71" s="273">
        <v>0</v>
      </c>
      <c r="G71" s="140">
        <v>0</v>
      </c>
      <c r="H71" s="273">
        <v>0</v>
      </c>
      <c r="I71" s="140">
        <v>0</v>
      </c>
      <c r="J71" s="273">
        <v>0</v>
      </c>
      <c r="K71" s="140">
        <v>0</v>
      </c>
      <c r="L71" s="273">
        <v>0</v>
      </c>
      <c r="M71" s="58"/>
      <c r="N71" s="58"/>
      <c r="O71" s="117">
        <f t="shared" si="3"/>
        <v>265</v>
      </c>
      <c r="P71" s="83"/>
      <c r="Q71" s="82"/>
      <c r="R71" s="80" t="s">
        <v>153</v>
      </c>
      <c r="S71" s="67" t="s">
        <v>154</v>
      </c>
      <c r="T71" s="95"/>
      <c r="U71" s="63"/>
      <c r="W71" s="63"/>
      <c r="Y71" s="63"/>
      <c r="AA71" s="63"/>
      <c r="AB71" s="63"/>
      <c r="AD71" s="63"/>
      <c r="AE71" s="63"/>
    </row>
    <row r="72" spans="2:31" ht="16.95" customHeight="1" outlineLevel="1" x14ac:dyDescent="0.25">
      <c r="B72" s="117">
        <v>266</v>
      </c>
      <c r="C72" s="58" t="s">
        <v>155</v>
      </c>
      <c r="D72" s="58"/>
      <c r="E72" s="134">
        <f>'Cash Paid to Vendors'!F24</f>
        <v>20000</v>
      </c>
      <c r="F72" s="273">
        <v>0</v>
      </c>
      <c r="G72" s="140">
        <f>'Cash Paid to Vendors'!G24</f>
        <v>15000</v>
      </c>
      <c r="H72" s="273">
        <v>0</v>
      </c>
      <c r="I72" s="140">
        <f>'Cash Paid to Vendors'!H24</f>
        <v>15000</v>
      </c>
      <c r="J72" s="273">
        <v>0</v>
      </c>
      <c r="K72" s="140">
        <f>'Cash Paid to Vendors'!I24</f>
        <v>15000</v>
      </c>
      <c r="L72" s="273">
        <v>0</v>
      </c>
      <c r="M72" s="58"/>
      <c r="N72" s="58"/>
      <c r="O72" s="117">
        <f t="shared" si="3"/>
        <v>266</v>
      </c>
      <c r="P72" s="83"/>
      <c r="Q72" s="82"/>
      <c r="R72" s="80" t="s">
        <v>156</v>
      </c>
      <c r="S72" s="67" t="s">
        <v>157</v>
      </c>
      <c r="T72" s="154" t="s">
        <v>628</v>
      </c>
      <c r="U72" s="63"/>
      <c r="W72" s="63"/>
      <c r="Y72" s="63"/>
      <c r="AA72" s="63"/>
      <c r="AB72" s="63"/>
      <c r="AD72" s="63"/>
      <c r="AE72" s="63"/>
    </row>
    <row r="73" spans="2:31" ht="16.95" customHeight="1" outlineLevel="1" x14ac:dyDescent="0.25">
      <c r="B73" s="117">
        <v>267</v>
      </c>
      <c r="C73" s="58" t="s">
        <v>158</v>
      </c>
      <c r="D73" s="58"/>
      <c r="E73" s="134">
        <v>0</v>
      </c>
      <c r="F73" s="273">
        <v>0</v>
      </c>
      <c r="G73" s="140">
        <v>0</v>
      </c>
      <c r="H73" s="273">
        <v>0</v>
      </c>
      <c r="I73" s="140">
        <v>0</v>
      </c>
      <c r="J73" s="273">
        <v>0</v>
      </c>
      <c r="K73" s="140">
        <v>0</v>
      </c>
      <c r="L73" s="273">
        <v>0</v>
      </c>
      <c r="M73" s="58"/>
      <c r="N73" s="58"/>
      <c r="O73" s="117">
        <f t="shared" si="3"/>
        <v>267</v>
      </c>
      <c r="P73" s="83"/>
      <c r="Q73" s="82"/>
      <c r="R73" s="80" t="s">
        <v>159</v>
      </c>
      <c r="S73" s="67" t="s">
        <v>160</v>
      </c>
      <c r="T73" s="95"/>
      <c r="U73" s="63"/>
      <c r="W73" s="63"/>
      <c r="Y73" s="63"/>
      <c r="AA73" s="63"/>
      <c r="AB73" s="63"/>
      <c r="AD73" s="63"/>
      <c r="AE73" s="63"/>
    </row>
    <row r="74" spans="2:31" ht="16.95" customHeight="1" outlineLevel="1" x14ac:dyDescent="0.25">
      <c r="B74" s="117">
        <v>268</v>
      </c>
      <c r="C74" s="58" t="s">
        <v>161</v>
      </c>
      <c r="D74" s="58"/>
      <c r="E74" s="134">
        <f>'Cash Paid to Vendors'!F25</f>
        <v>5000</v>
      </c>
      <c r="F74" s="273">
        <v>0</v>
      </c>
      <c r="G74" s="140">
        <f>'Cash Paid to Vendors'!G25</f>
        <v>5000</v>
      </c>
      <c r="H74" s="273">
        <v>0</v>
      </c>
      <c r="I74" s="140">
        <f>'Cash Paid to Vendors'!H25</f>
        <v>5000</v>
      </c>
      <c r="J74" s="273">
        <v>0</v>
      </c>
      <c r="K74" s="140">
        <f>'Cash Paid to Vendors'!I25</f>
        <v>5000</v>
      </c>
      <c r="L74" s="273">
        <v>0</v>
      </c>
      <c r="M74" s="58"/>
      <c r="N74" s="58"/>
      <c r="O74" s="117">
        <f t="shared" si="3"/>
        <v>268</v>
      </c>
      <c r="P74" s="83"/>
      <c r="Q74" s="82"/>
      <c r="R74" s="80" t="s">
        <v>162</v>
      </c>
      <c r="S74" s="67" t="s">
        <v>163</v>
      </c>
      <c r="T74" s="95" t="s">
        <v>629</v>
      </c>
      <c r="U74" s="63"/>
      <c r="W74" s="63"/>
      <c r="Y74" s="63"/>
      <c r="AA74" s="63"/>
      <c r="AB74" s="63"/>
      <c r="AD74" s="63"/>
      <c r="AE74" s="63"/>
    </row>
    <row r="75" spans="2:31" ht="16.95" customHeight="1" outlineLevel="1" x14ac:dyDescent="0.25">
      <c r="B75" s="117">
        <v>269</v>
      </c>
      <c r="C75" s="72" t="s">
        <v>164</v>
      </c>
      <c r="D75" s="58"/>
      <c r="E75" s="134">
        <v>0</v>
      </c>
      <c r="F75" s="273">
        <v>0</v>
      </c>
      <c r="G75" s="140">
        <v>0</v>
      </c>
      <c r="H75" s="273">
        <v>0</v>
      </c>
      <c r="I75" s="140">
        <v>0</v>
      </c>
      <c r="J75" s="273">
        <v>0</v>
      </c>
      <c r="K75" s="140">
        <v>0</v>
      </c>
      <c r="L75" s="273">
        <v>0</v>
      </c>
      <c r="M75" s="58"/>
      <c r="N75" s="58"/>
      <c r="O75" s="117">
        <f t="shared" si="3"/>
        <v>269</v>
      </c>
      <c r="P75" s="83"/>
      <c r="Q75" s="82"/>
      <c r="R75" s="80" t="s">
        <v>165</v>
      </c>
      <c r="S75" s="67" t="s">
        <v>166</v>
      </c>
      <c r="T75" s="95"/>
      <c r="U75" s="63"/>
      <c r="W75" s="63"/>
      <c r="Y75" s="63"/>
      <c r="AA75" s="63"/>
      <c r="AB75" s="63"/>
      <c r="AD75" s="63"/>
      <c r="AE75" s="63"/>
    </row>
    <row r="76" spans="2:31" s="72" customFormat="1" ht="16.95" customHeight="1" x14ac:dyDescent="0.25">
      <c r="B76" s="119"/>
      <c r="E76" s="132"/>
      <c r="F76" s="277"/>
      <c r="G76" s="132"/>
      <c r="H76" s="277"/>
      <c r="I76" s="132"/>
      <c r="J76" s="277"/>
      <c r="K76" s="132"/>
      <c r="L76" s="284"/>
      <c r="O76" s="119"/>
      <c r="P76" s="73"/>
      <c r="Q76" s="74"/>
      <c r="R76" s="95"/>
      <c r="S76" s="75"/>
    </row>
    <row r="77" spans="2:31" ht="16.95" customHeight="1" x14ac:dyDescent="0.25">
      <c r="B77" s="159">
        <v>300</v>
      </c>
      <c r="C77" s="122" t="s">
        <v>27</v>
      </c>
      <c r="D77" s="58"/>
      <c r="E77" s="133">
        <f>SUM(E78:E84)</f>
        <v>0</v>
      </c>
      <c r="F77" s="275">
        <f>F78</f>
        <v>0</v>
      </c>
      <c r="G77" s="139">
        <f>SUM(G78:G84)</f>
        <v>90000</v>
      </c>
      <c r="H77" s="275">
        <f>H78</f>
        <v>0</v>
      </c>
      <c r="I77" s="139">
        <f>SUM(I78:I84)</f>
        <v>180000</v>
      </c>
      <c r="J77" s="275">
        <f>J78</f>
        <v>0</v>
      </c>
      <c r="K77" s="139">
        <f>SUM(K78:K84)</f>
        <v>270000</v>
      </c>
      <c r="L77" s="275">
        <f>L78</f>
        <v>0</v>
      </c>
      <c r="M77" s="58"/>
      <c r="N77" s="58"/>
      <c r="O77" s="116">
        <f t="shared" ref="O77:O84" si="4">B77</f>
        <v>300</v>
      </c>
      <c r="P77" s="83"/>
      <c r="Q77" s="84"/>
      <c r="R77" s="85" t="str">
        <f>C77&amp;" - Calculates automatically."</f>
        <v>Pupil Services - Calculates automatically.</v>
      </c>
      <c r="S77" s="86" t="s">
        <v>167</v>
      </c>
      <c r="U77" s="63"/>
      <c r="W77" s="63"/>
      <c r="Y77" s="63"/>
      <c r="AA77" s="63"/>
      <c r="AB77" s="63"/>
      <c r="AD77" s="63"/>
      <c r="AE77" s="63"/>
    </row>
    <row r="78" spans="2:31" ht="16.95" customHeight="1" x14ac:dyDescent="0.25">
      <c r="B78" s="117">
        <v>310</v>
      </c>
      <c r="C78" s="58" t="s">
        <v>168</v>
      </c>
      <c r="D78" s="58"/>
      <c r="E78" s="134">
        <v>0</v>
      </c>
      <c r="F78" s="274">
        <v>0</v>
      </c>
      <c r="G78" s="140">
        <v>0</v>
      </c>
      <c r="H78" s="274">
        <v>0</v>
      </c>
      <c r="I78" s="140">
        <v>0</v>
      </c>
      <c r="J78" s="274">
        <v>0</v>
      </c>
      <c r="K78" s="140">
        <v>0</v>
      </c>
      <c r="L78" s="274">
        <v>0</v>
      </c>
      <c r="M78" s="58"/>
      <c r="N78" s="58"/>
      <c r="O78" s="117">
        <f t="shared" si="4"/>
        <v>310</v>
      </c>
      <c r="P78" s="89"/>
      <c r="Q78" s="88"/>
      <c r="R78" s="87" t="s">
        <v>169</v>
      </c>
      <c r="S78" s="67" t="s">
        <v>170</v>
      </c>
      <c r="U78" s="63"/>
      <c r="W78" s="63"/>
      <c r="Y78" s="63"/>
      <c r="AA78" s="63"/>
      <c r="AB78" s="63"/>
      <c r="AD78" s="63"/>
      <c r="AE78" s="63"/>
    </row>
    <row r="79" spans="2:31" ht="16.95" customHeight="1" x14ac:dyDescent="0.25">
      <c r="B79" s="117">
        <v>320</v>
      </c>
      <c r="C79" s="58" t="s">
        <v>171</v>
      </c>
      <c r="D79" s="58"/>
      <c r="E79" s="134">
        <v>0</v>
      </c>
      <c r="F79" s="273">
        <v>0</v>
      </c>
      <c r="G79" s="140">
        <v>0</v>
      </c>
      <c r="H79" s="273">
        <v>0</v>
      </c>
      <c r="I79" s="140">
        <v>0</v>
      </c>
      <c r="J79" s="273">
        <v>0</v>
      </c>
      <c r="K79" s="140">
        <v>0</v>
      </c>
      <c r="L79" s="273">
        <v>0</v>
      </c>
      <c r="M79" s="58"/>
      <c r="N79" s="58"/>
      <c r="O79" s="117">
        <f t="shared" si="4"/>
        <v>320</v>
      </c>
      <c r="P79" s="83"/>
      <c r="Q79" s="82"/>
      <c r="R79" s="87" t="s">
        <v>172</v>
      </c>
      <c r="S79" s="67">
        <v>3200</v>
      </c>
      <c r="U79" s="63"/>
      <c r="W79" s="63"/>
      <c r="Y79" s="63"/>
      <c r="AA79" s="63"/>
      <c r="AB79" s="63"/>
      <c r="AD79" s="63"/>
      <c r="AE79" s="63"/>
    </row>
    <row r="80" spans="2:31" ht="16.95" customHeight="1" x14ac:dyDescent="0.25">
      <c r="B80" s="117">
        <v>330</v>
      </c>
      <c r="C80" s="72" t="s">
        <v>173</v>
      </c>
      <c r="D80" s="58"/>
      <c r="E80" s="134">
        <v>0</v>
      </c>
      <c r="F80" s="273">
        <v>0</v>
      </c>
      <c r="G80" s="140">
        <v>0</v>
      </c>
      <c r="H80" s="273">
        <v>0</v>
      </c>
      <c r="I80" s="140">
        <v>0</v>
      </c>
      <c r="J80" s="273">
        <v>0</v>
      </c>
      <c r="K80" s="140">
        <v>0</v>
      </c>
      <c r="L80" s="273">
        <v>0</v>
      </c>
      <c r="M80" s="58"/>
      <c r="N80" s="58"/>
      <c r="O80" s="117">
        <f t="shared" si="4"/>
        <v>330</v>
      </c>
      <c r="P80" s="83"/>
      <c r="Q80" s="82"/>
      <c r="R80" s="99" t="s">
        <v>174</v>
      </c>
      <c r="S80" s="67">
        <v>3300</v>
      </c>
      <c r="U80" s="63"/>
      <c r="W80" s="63"/>
      <c r="Y80" s="63"/>
      <c r="AA80" s="63"/>
      <c r="AB80" s="63"/>
      <c r="AD80" s="63"/>
      <c r="AE80" s="63"/>
    </row>
    <row r="81" spans="2:31" ht="16.95" customHeight="1" x14ac:dyDescent="0.25">
      <c r="B81" s="117">
        <v>340</v>
      </c>
      <c r="C81" s="72" t="s">
        <v>175</v>
      </c>
      <c r="D81" s="58"/>
      <c r="E81" s="134">
        <v>0</v>
      </c>
      <c r="F81" s="273">
        <v>0</v>
      </c>
      <c r="G81" s="140">
        <v>0</v>
      </c>
      <c r="H81" s="273">
        <v>0</v>
      </c>
      <c r="I81" s="140">
        <v>0</v>
      </c>
      <c r="J81" s="273">
        <v>0</v>
      </c>
      <c r="K81" s="140">
        <v>0</v>
      </c>
      <c r="L81" s="273">
        <v>0</v>
      </c>
      <c r="M81" s="58"/>
      <c r="N81" s="58"/>
      <c r="O81" s="117">
        <f t="shared" si="4"/>
        <v>340</v>
      </c>
      <c r="P81" s="83"/>
      <c r="Q81" s="82"/>
      <c r="R81" s="99" t="s">
        <v>176</v>
      </c>
      <c r="S81" s="67">
        <v>3300</v>
      </c>
      <c r="U81" s="63"/>
      <c r="W81" s="63"/>
      <c r="Y81" s="63"/>
      <c r="AA81" s="63"/>
      <c r="AB81" s="63"/>
      <c r="AD81" s="63"/>
      <c r="AE81" s="63"/>
    </row>
    <row r="82" spans="2:31" ht="16.95" customHeight="1" x14ac:dyDescent="0.25">
      <c r="B82" s="117">
        <v>350</v>
      </c>
      <c r="C82" s="72" t="s">
        <v>177</v>
      </c>
      <c r="D82" s="58"/>
      <c r="E82" s="134">
        <v>0</v>
      </c>
      <c r="F82" s="273">
        <v>0</v>
      </c>
      <c r="G82" s="140">
        <v>90000</v>
      </c>
      <c r="H82" s="273">
        <v>0</v>
      </c>
      <c r="I82" s="140">
        <v>180000</v>
      </c>
      <c r="J82" s="273">
        <v>0</v>
      </c>
      <c r="K82" s="140">
        <v>270000</v>
      </c>
      <c r="L82" s="273">
        <v>0</v>
      </c>
      <c r="M82" s="58"/>
      <c r="N82" s="58"/>
      <c r="O82" s="117">
        <f t="shared" si="4"/>
        <v>350</v>
      </c>
      <c r="P82" s="83"/>
      <c r="Q82" s="82"/>
      <c r="R82" s="87" t="s">
        <v>178</v>
      </c>
      <c r="S82" s="67">
        <v>3400</v>
      </c>
      <c r="T82" s="152" t="s">
        <v>515</v>
      </c>
      <c r="U82" s="63"/>
      <c r="W82" s="63"/>
      <c r="Y82" s="63"/>
      <c r="AA82" s="63"/>
      <c r="AB82" s="63"/>
      <c r="AD82" s="63"/>
      <c r="AE82" s="63"/>
    </row>
    <row r="83" spans="2:31" ht="16.95" customHeight="1" x14ac:dyDescent="0.25">
      <c r="B83" s="117">
        <v>360</v>
      </c>
      <c r="C83" s="72" t="s">
        <v>179</v>
      </c>
      <c r="D83" s="58"/>
      <c r="E83" s="134">
        <v>0</v>
      </c>
      <c r="F83" s="273">
        <v>0</v>
      </c>
      <c r="G83" s="140">
        <v>0</v>
      </c>
      <c r="H83" s="273">
        <v>0</v>
      </c>
      <c r="I83" s="140">
        <v>0</v>
      </c>
      <c r="J83" s="273">
        <v>0</v>
      </c>
      <c r="K83" s="140">
        <v>0</v>
      </c>
      <c r="L83" s="273">
        <v>0</v>
      </c>
      <c r="M83" s="58"/>
      <c r="N83" s="58"/>
      <c r="O83" s="117">
        <f t="shared" si="4"/>
        <v>360</v>
      </c>
      <c r="P83" s="83"/>
      <c r="Q83" s="82"/>
      <c r="R83" s="87" t="s">
        <v>172</v>
      </c>
      <c r="S83" s="67">
        <v>3510</v>
      </c>
      <c r="U83" s="63"/>
      <c r="W83" s="63"/>
      <c r="Y83" s="63"/>
      <c r="AA83" s="63"/>
      <c r="AB83" s="63"/>
      <c r="AD83" s="63"/>
      <c r="AE83" s="63"/>
    </row>
    <row r="84" spans="2:31" ht="16.95" customHeight="1" x14ac:dyDescent="0.25">
      <c r="B84" s="117">
        <v>370</v>
      </c>
      <c r="C84" s="115" t="s">
        <v>19</v>
      </c>
      <c r="D84" s="58"/>
      <c r="E84" s="134">
        <v>0</v>
      </c>
      <c r="F84" s="273">
        <v>0</v>
      </c>
      <c r="G84" s="140">
        <v>0</v>
      </c>
      <c r="H84" s="273">
        <v>0</v>
      </c>
      <c r="I84" s="140">
        <v>0</v>
      </c>
      <c r="J84" s="273">
        <v>0</v>
      </c>
      <c r="K84" s="140">
        <v>0</v>
      </c>
      <c r="L84" s="273">
        <v>0</v>
      </c>
      <c r="M84" s="58"/>
      <c r="N84" s="58"/>
      <c r="O84" s="117">
        <f t="shared" si="4"/>
        <v>370</v>
      </c>
      <c r="P84" s="83"/>
      <c r="Q84" s="82"/>
      <c r="R84" s="87" t="s">
        <v>180</v>
      </c>
      <c r="S84" s="67" t="s">
        <v>181</v>
      </c>
      <c r="U84" s="63"/>
      <c r="W84" s="63"/>
      <c r="Y84" s="63"/>
      <c r="AA84" s="63"/>
      <c r="AB84" s="63"/>
      <c r="AD84" s="63"/>
      <c r="AE84" s="63"/>
    </row>
    <row r="85" spans="2:31" s="72" customFormat="1" ht="16.95" customHeight="1" x14ac:dyDescent="0.25">
      <c r="B85" s="119"/>
      <c r="E85" s="132"/>
      <c r="F85" s="277"/>
      <c r="G85" s="132"/>
      <c r="H85" s="277"/>
      <c r="I85" s="132"/>
      <c r="J85" s="277"/>
      <c r="K85" s="132"/>
      <c r="L85" s="284"/>
      <c r="O85" s="119"/>
      <c r="P85" s="73"/>
      <c r="Q85" s="74"/>
      <c r="R85" s="95"/>
      <c r="S85" s="75"/>
    </row>
    <row r="86" spans="2:31" ht="16.95" customHeight="1" x14ac:dyDescent="0.25">
      <c r="B86" s="159">
        <v>400</v>
      </c>
      <c r="C86" s="122" t="s">
        <v>28</v>
      </c>
      <c r="D86" s="58"/>
      <c r="E86" s="133">
        <f>SUM(E87:E97)</f>
        <v>103000</v>
      </c>
      <c r="F86" s="275">
        <f>F87</f>
        <v>0</v>
      </c>
      <c r="G86" s="139">
        <f>SUM(G87:G97)</f>
        <v>99000</v>
      </c>
      <c r="H86" s="275">
        <f>H87</f>
        <v>0</v>
      </c>
      <c r="I86" s="139">
        <f>SUM(I87:I97)</f>
        <v>99000</v>
      </c>
      <c r="J86" s="275">
        <f>J87</f>
        <v>0</v>
      </c>
      <c r="K86" s="139">
        <f>SUM(K87:K97)</f>
        <v>99000</v>
      </c>
      <c r="L86" s="275">
        <f>L87</f>
        <v>0</v>
      </c>
      <c r="M86" s="58"/>
      <c r="N86" s="58"/>
      <c r="O86" s="116">
        <f t="shared" ref="O86:O97" si="5">B86</f>
        <v>400</v>
      </c>
      <c r="P86" s="83"/>
      <c r="Q86" s="84"/>
      <c r="R86" s="85" t="str">
        <f>C86&amp;" - Calculates automatically."</f>
        <v>Operation &amp; Maintenance of Plant - Calculates automatically.</v>
      </c>
      <c r="S86" s="86" t="s">
        <v>182</v>
      </c>
      <c r="U86" s="63"/>
      <c r="W86" s="63"/>
      <c r="Y86" s="63"/>
      <c r="AA86" s="63"/>
      <c r="AB86" s="63"/>
      <c r="AD86" s="63"/>
      <c r="AE86" s="63"/>
    </row>
    <row r="87" spans="2:31" ht="16.95" customHeight="1" x14ac:dyDescent="0.25">
      <c r="B87" s="117">
        <v>410</v>
      </c>
      <c r="C87" s="58" t="s">
        <v>183</v>
      </c>
      <c r="D87" s="58"/>
      <c r="E87" s="134">
        <v>3000</v>
      </c>
      <c r="F87" s="274">
        <v>0</v>
      </c>
      <c r="G87" s="140">
        <v>6000</v>
      </c>
      <c r="H87" s="274">
        <v>0</v>
      </c>
      <c r="I87" s="140">
        <v>6000</v>
      </c>
      <c r="J87" s="274">
        <v>0</v>
      </c>
      <c r="K87" s="140">
        <v>6000</v>
      </c>
      <c r="L87" s="274">
        <v>0</v>
      </c>
      <c r="M87" s="58"/>
      <c r="N87" s="58"/>
      <c r="O87" s="117">
        <f t="shared" si="5"/>
        <v>410</v>
      </c>
      <c r="P87" s="89"/>
      <c r="Q87" s="88"/>
      <c r="R87" s="90" t="s">
        <v>184</v>
      </c>
      <c r="S87" s="67" t="s">
        <v>185</v>
      </c>
      <c r="T87" s="95" t="s">
        <v>369</v>
      </c>
      <c r="U87" s="63"/>
      <c r="W87" s="63"/>
      <c r="Y87" s="63"/>
      <c r="AA87" s="63"/>
      <c r="AB87" s="63"/>
      <c r="AD87" s="63"/>
      <c r="AE87" s="63"/>
    </row>
    <row r="88" spans="2:31" ht="16.95" customHeight="1" x14ac:dyDescent="0.25">
      <c r="B88" s="117">
        <v>415</v>
      </c>
      <c r="C88" s="58" t="s">
        <v>186</v>
      </c>
      <c r="D88" s="58"/>
      <c r="E88" s="134">
        <v>2000</v>
      </c>
      <c r="F88" s="273">
        <v>0</v>
      </c>
      <c r="G88" s="140">
        <v>12000</v>
      </c>
      <c r="H88" s="273">
        <v>0</v>
      </c>
      <c r="I88" s="140">
        <v>12000</v>
      </c>
      <c r="J88" s="273">
        <v>0</v>
      </c>
      <c r="K88" s="140">
        <v>12000</v>
      </c>
      <c r="L88" s="273">
        <v>0</v>
      </c>
      <c r="M88" s="58"/>
      <c r="N88" s="58"/>
      <c r="O88" s="117">
        <f t="shared" si="5"/>
        <v>415</v>
      </c>
      <c r="P88" s="83"/>
      <c r="Q88" s="82"/>
      <c r="R88" s="80" t="s">
        <v>187</v>
      </c>
      <c r="S88" s="67" t="s">
        <v>188</v>
      </c>
      <c r="T88" s="95" t="s">
        <v>635</v>
      </c>
      <c r="U88" s="63"/>
      <c r="W88" s="63"/>
      <c r="Y88" s="63"/>
      <c r="AA88" s="63"/>
      <c r="AB88" s="63"/>
      <c r="AD88" s="63"/>
      <c r="AE88" s="63"/>
    </row>
    <row r="89" spans="2:31" ht="16.95" customHeight="1" x14ac:dyDescent="0.25">
      <c r="B89" s="117">
        <v>420</v>
      </c>
      <c r="C89" s="72" t="s">
        <v>189</v>
      </c>
      <c r="D89" s="58"/>
      <c r="E89" s="134">
        <f>'Cash Paid to Vendors'!F26</f>
        <v>0</v>
      </c>
      <c r="F89" s="273">
        <v>0</v>
      </c>
      <c r="G89" s="140">
        <f>'Cash Paid to Vendors'!G26</f>
        <v>6000</v>
      </c>
      <c r="H89" s="273">
        <v>0</v>
      </c>
      <c r="I89" s="140">
        <f>'Cash Paid to Vendors'!H26</f>
        <v>6000</v>
      </c>
      <c r="J89" s="273">
        <v>0</v>
      </c>
      <c r="K89" s="140">
        <f>'Cash Paid to Vendors'!I26</f>
        <v>6000</v>
      </c>
      <c r="L89" s="273">
        <v>0</v>
      </c>
      <c r="M89" s="58"/>
      <c r="N89" s="58"/>
      <c r="O89" s="117">
        <f t="shared" si="5"/>
        <v>420</v>
      </c>
      <c r="P89" s="83"/>
      <c r="Q89" s="82"/>
      <c r="R89" s="80" t="s">
        <v>190</v>
      </c>
      <c r="S89" s="67" t="s">
        <v>191</v>
      </c>
      <c r="T89" s="95" t="s">
        <v>636</v>
      </c>
      <c r="U89" s="63"/>
      <c r="W89" s="63"/>
      <c r="Y89" s="63"/>
      <c r="AA89" s="63"/>
      <c r="AB89" s="63"/>
      <c r="AD89" s="63"/>
      <c r="AE89" s="63"/>
    </row>
    <row r="90" spans="2:31" ht="16.95" customHeight="1" x14ac:dyDescent="0.25">
      <c r="B90" s="117">
        <v>425</v>
      </c>
      <c r="C90" s="72" t="s">
        <v>192</v>
      </c>
      <c r="D90" s="58"/>
      <c r="E90" s="134">
        <v>0</v>
      </c>
      <c r="F90" s="273">
        <v>0</v>
      </c>
      <c r="G90" s="140">
        <v>0</v>
      </c>
      <c r="H90" s="273">
        <v>0</v>
      </c>
      <c r="I90" s="140">
        <v>0</v>
      </c>
      <c r="J90" s="273">
        <v>0</v>
      </c>
      <c r="K90" s="140">
        <v>0</v>
      </c>
      <c r="L90" s="273">
        <v>0</v>
      </c>
      <c r="M90" s="58"/>
      <c r="N90" s="58"/>
      <c r="O90" s="117">
        <f t="shared" si="5"/>
        <v>425</v>
      </c>
      <c r="P90" s="83"/>
      <c r="Q90" s="82"/>
      <c r="R90" s="80" t="s">
        <v>193</v>
      </c>
      <c r="S90" s="67">
        <v>4230</v>
      </c>
      <c r="T90" s="95" t="s">
        <v>525</v>
      </c>
      <c r="U90" s="63"/>
      <c r="W90" s="63"/>
      <c r="Y90" s="63"/>
      <c r="AA90" s="63"/>
      <c r="AB90" s="63"/>
      <c r="AD90" s="63"/>
      <c r="AE90" s="63"/>
    </row>
    <row r="91" spans="2:31" ht="16.95" customHeight="1" x14ac:dyDescent="0.25">
      <c r="B91" s="117">
        <v>430</v>
      </c>
      <c r="C91" s="72" t="s">
        <v>194</v>
      </c>
      <c r="D91" s="58"/>
      <c r="E91" s="134">
        <v>2000</v>
      </c>
      <c r="F91" s="273">
        <v>0</v>
      </c>
      <c r="G91" s="140">
        <v>1000</v>
      </c>
      <c r="H91" s="273">
        <v>0</v>
      </c>
      <c r="I91" s="140">
        <v>1000</v>
      </c>
      <c r="J91" s="273">
        <v>0</v>
      </c>
      <c r="K91" s="140">
        <v>1000</v>
      </c>
      <c r="L91" s="273">
        <v>0</v>
      </c>
      <c r="M91" s="58"/>
      <c r="N91" s="58"/>
      <c r="O91" s="117">
        <f t="shared" si="5"/>
        <v>430</v>
      </c>
      <c r="P91" s="83"/>
      <c r="Q91" s="82"/>
      <c r="R91" s="80" t="s">
        <v>195</v>
      </c>
      <c r="S91" s="67" t="s">
        <v>196</v>
      </c>
      <c r="T91" s="95" t="s">
        <v>632</v>
      </c>
      <c r="U91" s="63"/>
      <c r="W91" s="63"/>
      <c r="Y91" s="63"/>
      <c r="AA91" s="63"/>
      <c r="AB91" s="63"/>
      <c r="AD91" s="63"/>
      <c r="AE91" s="63"/>
    </row>
    <row r="92" spans="2:31" s="101" customFormat="1" ht="16.95" customHeight="1" x14ac:dyDescent="0.25">
      <c r="B92" s="117">
        <v>435</v>
      </c>
      <c r="C92" s="72" t="s">
        <v>197</v>
      </c>
      <c r="D92" s="72"/>
      <c r="E92" s="134">
        <v>0</v>
      </c>
      <c r="F92" s="273">
        <v>0</v>
      </c>
      <c r="G92" s="140">
        <v>0</v>
      </c>
      <c r="H92" s="273">
        <v>0</v>
      </c>
      <c r="I92" s="140">
        <v>0</v>
      </c>
      <c r="J92" s="273">
        <v>0</v>
      </c>
      <c r="K92" s="140">
        <v>0</v>
      </c>
      <c r="L92" s="273">
        <v>0</v>
      </c>
      <c r="M92" s="72"/>
      <c r="N92" s="72"/>
      <c r="O92" s="117">
        <f t="shared" si="5"/>
        <v>435</v>
      </c>
      <c r="P92" s="83"/>
      <c r="Q92" s="82"/>
      <c r="R92" s="80" t="s">
        <v>198</v>
      </c>
      <c r="S92" s="75" t="s">
        <v>166</v>
      </c>
      <c r="T92" s="95" t="s">
        <v>637</v>
      </c>
    </row>
    <row r="93" spans="2:31" ht="16.95" customHeight="1" x14ac:dyDescent="0.25">
      <c r="B93" s="117">
        <v>440</v>
      </c>
      <c r="C93" s="72" t="s">
        <v>199</v>
      </c>
      <c r="D93" s="58"/>
      <c r="E93" s="134">
        <f>6*3000</f>
        <v>18000</v>
      </c>
      <c r="F93" s="273">
        <v>0</v>
      </c>
      <c r="G93" s="140">
        <f>12*3000</f>
        <v>36000</v>
      </c>
      <c r="H93" s="273">
        <v>0</v>
      </c>
      <c r="I93" s="140">
        <f>12*3000</f>
        <v>36000</v>
      </c>
      <c r="J93" s="273">
        <v>0</v>
      </c>
      <c r="K93" s="140">
        <f>12*3000</f>
        <v>36000</v>
      </c>
      <c r="L93" s="273">
        <v>0</v>
      </c>
      <c r="M93" s="58"/>
      <c r="N93" s="58"/>
      <c r="O93" s="117">
        <f t="shared" si="5"/>
        <v>440</v>
      </c>
      <c r="P93" s="83"/>
      <c r="Q93" s="82"/>
      <c r="R93" s="80" t="s">
        <v>200</v>
      </c>
      <c r="S93" s="67">
        <v>5350</v>
      </c>
      <c r="T93" s="95" t="s">
        <v>638</v>
      </c>
      <c r="U93" s="63"/>
      <c r="W93" s="63"/>
      <c r="Y93" s="63"/>
      <c r="AA93" s="63"/>
      <c r="AB93" s="63"/>
      <c r="AD93" s="63"/>
      <c r="AE93" s="63"/>
    </row>
    <row r="94" spans="2:31" ht="16.95" customHeight="1" x14ac:dyDescent="0.25">
      <c r="B94" s="117">
        <v>445</v>
      </c>
      <c r="C94" s="72" t="s">
        <v>201</v>
      </c>
      <c r="D94" s="58"/>
      <c r="E94" s="134">
        <v>1000</v>
      </c>
      <c r="F94" s="273">
        <v>0</v>
      </c>
      <c r="G94" s="140">
        <v>500</v>
      </c>
      <c r="H94" s="273">
        <v>0</v>
      </c>
      <c r="I94" s="140">
        <v>500</v>
      </c>
      <c r="J94" s="273">
        <v>0</v>
      </c>
      <c r="K94" s="140">
        <v>500</v>
      </c>
      <c r="L94" s="273">
        <v>0</v>
      </c>
      <c r="M94" s="58"/>
      <c r="N94" s="58"/>
      <c r="O94" s="117">
        <f t="shared" si="5"/>
        <v>445</v>
      </c>
      <c r="P94" s="83"/>
      <c r="Q94" s="82"/>
      <c r="R94" s="80" t="s">
        <v>202</v>
      </c>
      <c r="S94" s="67">
        <v>5300</v>
      </c>
      <c r="T94" s="155" t="s">
        <v>639</v>
      </c>
      <c r="U94" s="63"/>
      <c r="W94" s="63"/>
      <c r="Y94" s="63"/>
      <c r="AA94" s="63"/>
      <c r="AB94" s="63"/>
      <c r="AD94" s="63"/>
      <c r="AE94" s="63"/>
    </row>
    <row r="95" spans="2:31" s="101" customFormat="1" ht="16.95" customHeight="1" x14ac:dyDescent="0.25">
      <c r="B95" s="117">
        <v>450</v>
      </c>
      <c r="C95" s="115" t="s">
        <v>651</v>
      </c>
      <c r="D95" s="72"/>
      <c r="E95" s="134">
        <v>25000</v>
      </c>
      <c r="F95" s="273">
        <v>0</v>
      </c>
      <c r="G95" s="140">
        <v>25000</v>
      </c>
      <c r="H95" s="273">
        <v>0</v>
      </c>
      <c r="I95" s="140">
        <v>25000</v>
      </c>
      <c r="J95" s="273">
        <v>0</v>
      </c>
      <c r="K95" s="140">
        <v>25000</v>
      </c>
      <c r="L95" s="273">
        <v>0</v>
      </c>
      <c r="M95" s="72"/>
      <c r="N95" s="72"/>
      <c r="O95" s="117">
        <f t="shared" si="5"/>
        <v>450</v>
      </c>
      <c r="P95" s="83"/>
      <c r="Q95" s="82"/>
      <c r="R95" s="80" t="s">
        <v>203</v>
      </c>
      <c r="S95" s="75"/>
      <c r="T95" s="72" t="s">
        <v>650</v>
      </c>
    </row>
    <row r="96" spans="2:31" s="101" customFormat="1" ht="16.95" customHeight="1" x14ac:dyDescent="0.25">
      <c r="B96" s="117">
        <v>455</v>
      </c>
      <c r="C96" s="115" t="s">
        <v>362</v>
      </c>
      <c r="D96" s="72"/>
      <c r="E96" s="134">
        <f>'Cash Paid to Vendors'!F27</f>
        <v>2000</v>
      </c>
      <c r="F96" s="273">
        <v>0</v>
      </c>
      <c r="G96" s="140">
        <f>'Cash Paid to Vendors'!G27</f>
        <v>12000</v>
      </c>
      <c r="H96" s="273">
        <v>0</v>
      </c>
      <c r="I96" s="140">
        <f>'Cash Paid to Vendors'!H27</f>
        <v>12000</v>
      </c>
      <c r="J96" s="273">
        <v>0</v>
      </c>
      <c r="K96" s="140">
        <f>'Cash Paid to Vendors'!I27</f>
        <v>12000</v>
      </c>
      <c r="L96" s="273">
        <v>0</v>
      </c>
      <c r="M96" s="72"/>
      <c r="N96" s="72"/>
      <c r="O96" s="117">
        <f t="shared" si="5"/>
        <v>455</v>
      </c>
      <c r="P96" s="83"/>
      <c r="Q96" s="82"/>
      <c r="R96" s="80" t="s">
        <v>204</v>
      </c>
      <c r="S96" s="75"/>
      <c r="T96" s="156" t="s">
        <v>646</v>
      </c>
    </row>
    <row r="97" spans="2:31" s="101" customFormat="1" ht="16.95" customHeight="1" x14ac:dyDescent="0.25">
      <c r="B97" s="117">
        <v>460</v>
      </c>
      <c r="C97" s="115" t="s">
        <v>19</v>
      </c>
      <c r="D97" s="72"/>
      <c r="E97" s="134">
        <v>50000</v>
      </c>
      <c r="F97" s="273">
        <v>0</v>
      </c>
      <c r="G97" s="140">
        <v>500</v>
      </c>
      <c r="H97" s="273">
        <v>0</v>
      </c>
      <c r="I97" s="140">
        <v>500</v>
      </c>
      <c r="J97" s="273">
        <v>0</v>
      </c>
      <c r="K97" s="140">
        <v>500</v>
      </c>
      <c r="L97" s="273">
        <v>0</v>
      </c>
      <c r="M97" s="72"/>
      <c r="N97" s="72"/>
      <c r="O97" s="117">
        <f t="shared" si="5"/>
        <v>460</v>
      </c>
      <c r="P97" s="102"/>
      <c r="Q97" s="100"/>
      <c r="R97" s="103" t="s">
        <v>205</v>
      </c>
      <c r="S97" s="75" t="s">
        <v>166</v>
      </c>
      <c r="T97" s="308" t="s">
        <v>662</v>
      </c>
    </row>
    <row r="98" spans="2:31" s="72" customFormat="1" ht="16.95" customHeight="1" x14ac:dyDescent="0.25">
      <c r="B98" s="119"/>
      <c r="E98" s="132"/>
      <c r="F98" s="277"/>
      <c r="G98" s="132"/>
      <c r="H98" s="277"/>
      <c r="I98" s="132"/>
      <c r="J98" s="277"/>
      <c r="K98" s="132"/>
      <c r="L98" s="284"/>
      <c r="O98" s="119"/>
      <c r="P98" s="73"/>
      <c r="Q98" s="74"/>
      <c r="R98" s="95"/>
      <c r="S98" s="75"/>
    </row>
    <row r="99" spans="2:31" ht="16.95" customHeight="1" x14ac:dyDescent="0.25">
      <c r="B99" s="159">
        <v>500</v>
      </c>
      <c r="C99" s="122" t="s">
        <v>29</v>
      </c>
      <c r="D99" s="58"/>
      <c r="E99" s="133">
        <f>SUM(E100:E104)</f>
        <v>0</v>
      </c>
      <c r="F99" s="273">
        <v>0</v>
      </c>
      <c r="G99" s="139">
        <f>SUM(G100:G104)</f>
        <v>0</v>
      </c>
      <c r="H99" s="273">
        <v>0</v>
      </c>
      <c r="I99" s="139">
        <f>SUM(I100:I104)</f>
        <v>0</v>
      </c>
      <c r="J99" s="273">
        <v>0</v>
      </c>
      <c r="K99" s="139">
        <f>SUM(K100:K104)</f>
        <v>0</v>
      </c>
      <c r="L99" s="273">
        <v>0</v>
      </c>
      <c r="M99" s="58"/>
      <c r="N99" s="58"/>
      <c r="O99" s="116">
        <f t="shared" ref="O99:O104" si="6">B99</f>
        <v>500</v>
      </c>
      <c r="P99" s="83"/>
      <c r="Q99" s="84"/>
      <c r="R99" s="85" t="str">
        <f>C99&amp;" - Calculates automatically."</f>
        <v>Benefits and Other Fixed Charges - Calculates automatically.</v>
      </c>
      <c r="S99" s="86" t="s">
        <v>206</v>
      </c>
      <c r="U99" s="63"/>
      <c r="W99" s="63"/>
      <c r="Y99" s="63"/>
      <c r="AA99" s="63"/>
      <c r="AB99" s="63"/>
      <c r="AD99" s="63"/>
      <c r="AE99" s="63"/>
    </row>
    <row r="100" spans="2:31" ht="16.95" customHeight="1" x14ac:dyDescent="0.25">
      <c r="B100" s="117">
        <v>510</v>
      </c>
      <c r="C100" s="72" t="s">
        <v>207</v>
      </c>
      <c r="D100" s="58"/>
      <c r="E100" s="136">
        <v>0</v>
      </c>
      <c r="F100" s="273">
        <v>0</v>
      </c>
      <c r="G100" s="142">
        <v>0</v>
      </c>
      <c r="H100" s="273">
        <v>0</v>
      </c>
      <c r="I100" s="142">
        <v>0</v>
      </c>
      <c r="J100" s="273">
        <v>0</v>
      </c>
      <c r="K100" s="142">
        <v>0</v>
      </c>
      <c r="L100" s="273">
        <v>0</v>
      </c>
      <c r="M100" s="58"/>
      <c r="N100" s="58"/>
      <c r="O100" s="117">
        <f t="shared" si="6"/>
        <v>510</v>
      </c>
      <c r="P100" s="89"/>
      <c r="Q100" s="88"/>
      <c r="R100" s="87" t="s">
        <v>257</v>
      </c>
      <c r="S100" s="67">
        <v>5100</v>
      </c>
      <c r="U100" s="63"/>
      <c r="W100" s="63"/>
      <c r="Y100" s="63"/>
      <c r="AA100" s="63"/>
      <c r="AB100" s="63"/>
      <c r="AD100" s="63"/>
      <c r="AE100" s="63"/>
    </row>
    <row r="101" spans="2:31" ht="16.95" customHeight="1" x14ac:dyDescent="0.25">
      <c r="B101" s="117">
        <v>520</v>
      </c>
      <c r="C101" s="72" t="s">
        <v>208</v>
      </c>
      <c r="D101" s="58"/>
      <c r="E101" s="136">
        <v>0</v>
      </c>
      <c r="F101" s="273">
        <v>0</v>
      </c>
      <c r="G101" s="142">
        <v>0</v>
      </c>
      <c r="H101" s="273">
        <v>0</v>
      </c>
      <c r="I101" s="142">
        <v>0</v>
      </c>
      <c r="J101" s="273">
        <v>0</v>
      </c>
      <c r="K101" s="142">
        <v>0</v>
      </c>
      <c r="L101" s="273">
        <v>0</v>
      </c>
      <c r="M101" s="58"/>
      <c r="N101" s="58"/>
      <c r="O101" s="117">
        <f t="shared" si="6"/>
        <v>520</v>
      </c>
      <c r="P101" s="89"/>
      <c r="Q101" s="88"/>
      <c r="R101" s="87" t="s">
        <v>257</v>
      </c>
      <c r="S101" s="67" t="s">
        <v>209</v>
      </c>
      <c r="U101" s="63"/>
      <c r="W101" s="63"/>
      <c r="Y101" s="63"/>
      <c r="AA101" s="63"/>
      <c r="AB101" s="63"/>
      <c r="AD101" s="63"/>
      <c r="AE101" s="63"/>
    </row>
    <row r="102" spans="2:31" ht="16.95" customHeight="1" x14ac:dyDescent="0.25">
      <c r="B102" s="117">
        <v>530</v>
      </c>
      <c r="C102" s="72" t="s">
        <v>210</v>
      </c>
      <c r="D102" s="58"/>
      <c r="E102" s="134">
        <v>0</v>
      </c>
      <c r="F102" s="273">
        <v>0</v>
      </c>
      <c r="G102" s="140">
        <v>0</v>
      </c>
      <c r="H102" s="273">
        <v>0</v>
      </c>
      <c r="I102" s="140">
        <v>0</v>
      </c>
      <c r="J102" s="273">
        <v>0</v>
      </c>
      <c r="K102" s="140">
        <v>0</v>
      </c>
      <c r="L102" s="273">
        <v>0</v>
      </c>
      <c r="M102" s="58"/>
      <c r="N102" s="58"/>
      <c r="O102" s="117">
        <f t="shared" si="6"/>
        <v>530</v>
      </c>
      <c r="P102" s="89"/>
      <c r="Q102" s="82"/>
      <c r="R102" s="87" t="s">
        <v>211</v>
      </c>
      <c r="S102" s="67">
        <v>5260</v>
      </c>
      <c r="U102" s="63"/>
      <c r="W102" s="63"/>
      <c r="Y102" s="63"/>
      <c r="AA102" s="63"/>
      <c r="AB102" s="63"/>
      <c r="AD102" s="63"/>
      <c r="AE102" s="63"/>
    </row>
    <row r="103" spans="2:31" ht="16.95" customHeight="1" x14ac:dyDescent="0.25">
      <c r="B103" s="117">
        <v>560</v>
      </c>
      <c r="C103" s="72" t="s">
        <v>397</v>
      </c>
      <c r="D103" s="58"/>
      <c r="E103" s="134">
        <v>0</v>
      </c>
      <c r="F103" s="273">
        <v>0</v>
      </c>
      <c r="G103" s="140">
        <v>0</v>
      </c>
      <c r="H103" s="273">
        <v>0</v>
      </c>
      <c r="I103" s="140">
        <v>0</v>
      </c>
      <c r="J103" s="273">
        <v>0</v>
      </c>
      <c r="K103" s="140">
        <v>0</v>
      </c>
      <c r="L103" s="273">
        <v>0</v>
      </c>
      <c r="M103" s="58"/>
      <c r="N103" s="58"/>
      <c r="O103" s="117">
        <f t="shared" si="6"/>
        <v>560</v>
      </c>
      <c r="P103" s="83"/>
      <c r="Q103" s="84"/>
      <c r="R103" s="104"/>
      <c r="S103" s="67" t="s">
        <v>212</v>
      </c>
      <c r="U103" s="63"/>
      <c r="W103" s="63"/>
      <c r="Y103" s="63"/>
      <c r="AA103" s="63"/>
      <c r="AB103" s="63"/>
      <c r="AD103" s="63"/>
      <c r="AE103" s="63"/>
    </row>
    <row r="104" spans="2:31" ht="16.95" customHeight="1" x14ac:dyDescent="0.25">
      <c r="B104" s="117">
        <v>570</v>
      </c>
      <c r="C104" s="115" t="s">
        <v>19</v>
      </c>
      <c r="D104" s="58"/>
      <c r="E104" s="134">
        <v>0</v>
      </c>
      <c r="F104" s="273">
        <v>0</v>
      </c>
      <c r="G104" s="140">
        <v>0</v>
      </c>
      <c r="H104" s="273">
        <v>0</v>
      </c>
      <c r="I104" s="140">
        <v>0</v>
      </c>
      <c r="J104" s="273">
        <v>0</v>
      </c>
      <c r="K104" s="140">
        <v>0</v>
      </c>
      <c r="L104" s="273">
        <v>0</v>
      </c>
      <c r="M104" s="58"/>
      <c r="N104" s="58"/>
      <c r="O104" s="117">
        <f t="shared" si="6"/>
        <v>570</v>
      </c>
      <c r="P104" s="83"/>
      <c r="Q104" s="82"/>
      <c r="R104" s="87" t="s">
        <v>213</v>
      </c>
      <c r="S104" s="67" t="s">
        <v>214</v>
      </c>
      <c r="U104" s="63"/>
      <c r="W104" s="63"/>
      <c r="Y104" s="63"/>
      <c r="AA104" s="63"/>
      <c r="AB104" s="63"/>
      <c r="AD104" s="63"/>
      <c r="AE104" s="63"/>
    </row>
    <row r="105" spans="2:31" s="72" customFormat="1" ht="16.95" customHeight="1" x14ac:dyDescent="0.25">
      <c r="B105" s="119"/>
      <c r="E105" s="132"/>
      <c r="F105" s="277"/>
      <c r="G105" s="132"/>
      <c r="H105" s="277"/>
      <c r="I105" s="132"/>
      <c r="J105" s="277"/>
      <c r="K105" s="132"/>
      <c r="L105" s="284"/>
      <c r="O105" s="119"/>
      <c r="P105" s="73"/>
      <c r="Q105" s="74"/>
      <c r="R105" s="95"/>
      <c r="S105" s="75"/>
    </row>
    <row r="106" spans="2:31" ht="16.95" customHeight="1" x14ac:dyDescent="0.25">
      <c r="B106" s="159">
        <v>600</v>
      </c>
      <c r="C106" s="160" t="s">
        <v>30</v>
      </c>
      <c r="D106" s="58"/>
      <c r="E106" s="133">
        <f>SUM(E107:E108)</f>
        <v>1000</v>
      </c>
      <c r="F106" s="273">
        <v>0</v>
      </c>
      <c r="G106" s="139">
        <f>SUM(G107:G108)</f>
        <v>1000</v>
      </c>
      <c r="H106" s="273">
        <v>0</v>
      </c>
      <c r="I106" s="139">
        <f>SUM(I107:I108)</f>
        <v>2000</v>
      </c>
      <c r="J106" s="273">
        <v>0</v>
      </c>
      <c r="K106" s="139">
        <f>SUM(K107:K108)</f>
        <v>3000</v>
      </c>
      <c r="L106" s="273">
        <v>0</v>
      </c>
      <c r="M106" s="58"/>
      <c r="N106" s="58"/>
      <c r="O106" s="116">
        <f>B106</f>
        <v>600</v>
      </c>
      <c r="P106" s="83"/>
      <c r="Q106" s="84"/>
      <c r="R106" s="85" t="str">
        <f>C106&amp;" - Calculates automatically."</f>
        <v>Community Services - Calculates automatically.</v>
      </c>
      <c r="S106" s="86" t="s">
        <v>215</v>
      </c>
      <c r="U106" s="63"/>
      <c r="W106" s="63"/>
      <c r="Y106" s="63"/>
      <c r="AA106" s="63"/>
      <c r="AB106" s="63"/>
      <c r="AD106" s="63"/>
      <c r="AE106" s="63"/>
    </row>
    <row r="107" spans="2:31" ht="16.95" customHeight="1" x14ac:dyDescent="0.25">
      <c r="B107" s="117">
        <v>610</v>
      </c>
      <c r="C107" s="72" t="s">
        <v>216</v>
      </c>
      <c r="D107" s="58"/>
      <c r="E107" s="134">
        <v>0</v>
      </c>
      <c r="F107" s="273">
        <v>0</v>
      </c>
      <c r="G107" s="140">
        <v>0</v>
      </c>
      <c r="H107" s="273">
        <v>0</v>
      </c>
      <c r="I107" s="140">
        <v>0</v>
      </c>
      <c r="J107" s="273">
        <v>0</v>
      </c>
      <c r="K107" s="140">
        <v>0</v>
      </c>
      <c r="L107" s="273">
        <v>0</v>
      </c>
      <c r="M107" s="58"/>
      <c r="N107" s="58"/>
      <c r="O107" s="117">
        <f>B107</f>
        <v>610</v>
      </c>
      <c r="P107" s="83"/>
      <c r="Q107" s="84"/>
      <c r="R107" s="87" t="s">
        <v>217</v>
      </c>
      <c r="S107" s="67" t="s">
        <v>218</v>
      </c>
      <c r="T107" s="150" t="s">
        <v>370</v>
      </c>
      <c r="U107" s="63"/>
      <c r="W107" s="63"/>
      <c r="Y107" s="63"/>
      <c r="AA107" s="63"/>
      <c r="AB107" s="63"/>
      <c r="AD107" s="63"/>
      <c r="AE107" s="63"/>
    </row>
    <row r="108" spans="2:31" ht="16.95" customHeight="1" x14ac:dyDescent="0.25">
      <c r="B108" s="117">
        <v>620</v>
      </c>
      <c r="C108" s="72" t="s">
        <v>219</v>
      </c>
      <c r="D108" s="58"/>
      <c r="E108" s="134">
        <v>1000</v>
      </c>
      <c r="F108" s="273">
        <v>0</v>
      </c>
      <c r="G108" s="140">
        <v>1000</v>
      </c>
      <c r="H108" s="273">
        <v>0</v>
      </c>
      <c r="I108" s="140">
        <v>2000</v>
      </c>
      <c r="J108" s="273">
        <v>0</v>
      </c>
      <c r="K108" s="140">
        <v>3000</v>
      </c>
      <c r="L108" s="273">
        <v>0</v>
      </c>
      <c r="M108" s="58"/>
      <c r="N108" s="58"/>
      <c r="O108" s="117">
        <f>B108</f>
        <v>620</v>
      </c>
      <c r="P108" s="83"/>
      <c r="Q108" s="84"/>
      <c r="R108" s="80" t="s">
        <v>108</v>
      </c>
      <c r="S108" s="67" t="s">
        <v>218</v>
      </c>
      <c r="T108" s="150" t="s">
        <v>723</v>
      </c>
      <c r="U108" s="63"/>
      <c r="W108" s="63"/>
      <c r="Y108" s="63"/>
      <c r="AA108" s="63"/>
      <c r="AB108" s="63"/>
      <c r="AD108" s="63"/>
      <c r="AE108" s="63"/>
    </row>
    <row r="109" spans="2:31" s="72" customFormat="1" ht="16.95" customHeight="1" x14ac:dyDescent="0.25">
      <c r="B109" s="119"/>
      <c r="E109" s="132"/>
      <c r="F109" s="277"/>
      <c r="G109" s="132"/>
      <c r="H109" s="277"/>
      <c r="I109" s="132"/>
      <c r="J109" s="277"/>
      <c r="K109" s="132"/>
      <c r="L109" s="284"/>
      <c r="O109" s="119"/>
      <c r="P109" s="73"/>
      <c r="Q109" s="74"/>
      <c r="R109" s="95"/>
      <c r="S109" s="75"/>
    </row>
    <row r="110" spans="2:31" ht="16.95" customHeight="1" x14ac:dyDescent="0.25">
      <c r="B110" s="161">
        <v>700</v>
      </c>
      <c r="C110" s="162" t="s">
        <v>220</v>
      </c>
      <c r="D110" s="58"/>
      <c r="E110" s="133">
        <f>SUM(E111:E112)</f>
        <v>0</v>
      </c>
      <c r="F110" s="273">
        <v>0</v>
      </c>
      <c r="G110" s="139">
        <f>SUM(G111:G112)</f>
        <v>0</v>
      </c>
      <c r="H110" s="273">
        <v>0</v>
      </c>
      <c r="I110" s="139">
        <f>SUM(I111:I112)</f>
        <v>0</v>
      </c>
      <c r="J110" s="273">
        <v>0</v>
      </c>
      <c r="K110" s="139">
        <f>SUM(K111:K112)</f>
        <v>0</v>
      </c>
      <c r="L110" s="273">
        <v>0</v>
      </c>
      <c r="M110" s="58"/>
      <c r="N110" s="58"/>
      <c r="O110" s="116">
        <f>B110</f>
        <v>700</v>
      </c>
      <c r="P110" s="83"/>
      <c r="Q110" s="84"/>
      <c r="R110" s="85" t="str">
        <f>C110&amp;" - Calculates automatically."</f>
        <v>Non-Operating Expenses - Calculates automatically.</v>
      </c>
      <c r="S110" s="86" t="s">
        <v>215</v>
      </c>
      <c r="U110" s="63"/>
      <c r="W110" s="63"/>
      <c r="Y110" s="63"/>
      <c r="AA110" s="63"/>
      <c r="AB110" s="63"/>
      <c r="AD110" s="63"/>
      <c r="AE110" s="63"/>
    </row>
    <row r="111" spans="2:31" ht="16.95" customHeight="1" x14ac:dyDescent="0.25">
      <c r="B111" s="117">
        <v>720</v>
      </c>
      <c r="C111" s="72" t="s">
        <v>40</v>
      </c>
      <c r="D111" s="58"/>
      <c r="E111" s="134">
        <v>0</v>
      </c>
      <c r="F111" s="273">
        <v>0</v>
      </c>
      <c r="G111" s="140">
        <v>0</v>
      </c>
      <c r="H111" s="273">
        <v>0</v>
      </c>
      <c r="I111" s="140">
        <v>0</v>
      </c>
      <c r="J111" s="273">
        <v>0</v>
      </c>
      <c r="K111" s="140">
        <v>0</v>
      </c>
      <c r="L111" s="273">
        <v>0</v>
      </c>
      <c r="M111" s="58"/>
      <c r="N111" s="58"/>
      <c r="O111" s="117">
        <f>B111</f>
        <v>720</v>
      </c>
      <c r="P111" s="83"/>
      <c r="Q111" s="84"/>
      <c r="R111" s="87"/>
      <c r="S111" s="67" t="s">
        <v>218</v>
      </c>
      <c r="T111" s="101" t="s">
        <v>647</v>
      </c>
      <c r="U111" s="63"/>
      <c r="W111" s="63"/>
      <c r="Y111" s="63"/>
      <c r="AA111" s="63"/>
      <c r="AB111" s="63"/>
      <c r="AD111" s="63"/>
      <c r="AE111" s="63"/>
    </row>
    <row r="112" spans="2:31" ht="16.95" customHeight="1" x14ac:dyDescent="0.25">
      <c r="B112" s="117">
        <v>730</v>
      </c>
      <c r="C112" s="115" t="s">
        <v>19</v>
      </c>
      <c r="D112" s="58"/>
      <c r="E112" s="134">
        <v>0</v>
      </c>
      <c r="F112" s="273">
        <v>0</v>
      </c>
      <c r="G112" s="140">
        <v>0</v>
      </c>
      <c r="H112" s="273">
        <v>0</v>
      </c>
      <c r="I112" s="140">
        <v>0</v>
      </c>
      <c r="J112" s="273">
        <v>0</v>
      </c>
      <c r="K112" s="140">
        <v>0</v>
      </c>
      <c r="L112" s="273">
        <v>0</v>
      </c>
      <c r="M112" s="58"/>
      <c r="N112" s="58"/>
      <c r="O112" s="117">
        <f>B112</f>
        <v>730</v>
      </c>
      <c r="P112" s="83"/>
      <c r="Q112" s="84"/>
      <c r="R112" s="104" t="s">
        <v>20</v>
      </c>
      <c r="S112" s="67"/>
      <c r="U112" s="63"/>
      <c r="W112" s="63"/>
      <c r="Y112" s="63"/>
      <c r="AA112" s="63"/>
      <c r="AB112" s="63"/>
      <c r="AD112" s="63"/>
      <c r="AE112" s="63"/>
    </row>
    <row r="113" spans="2:31" ht="16.95" customHeight="1" x14ac:dyDescent="0.25">
      <c r="B113" s="65"/>
      <c r="C113" s="58"/>
      <c r="F113" s="279"/>
      <c r="H113" s="279"/>
      <c r="J113" s="279"/>
      <c r="L113" s="280"/>
      <c r="O113" s="65"/>
      <c r="P113" s="83"/>
      <c r="Q113" s="84"/>
      <c r="R113" s="87"/>
      <c r="S113" s="63"/>
      <c r="U113" s="63"/>
      <c r="W113" s="63"/>
      <c r="Y113" s="63"/>
      <c r="AA113" s="63"/>
      <c r="AB113" s="63"/>
      <c r="AD113" s="63"/>
      <c r="AE113" s="63"/>
    </row>
    <row r="114" spans="2:31" ht="16.95" customHeight="1" x14ac:dyDescent="0.25">
      <c r="B114" s="116">
        <v>800</v>
      </c>
      <c r="C114" s="113" t="s">
        <v>221</v>
      </c>
      <c r="D114" s="58"/>
      <c r="E114" s="138">
        <f t="shared" ref="E114:L114" si="7">SUM(E110,E106,E99,E86,E77,E41,E8)</f>
        <v>313600</v>
      </c>
      <c r="F114" s="275">
        <f t="shared" si="7"/>
        <v>1</v>
      </c>
      <c r="G114" s="143">
        <f t="shared" si="7"/>
        <v>868200</v>
      </c>
      <c r="H114" s="275">
        <f t="shared" si="7"/>
        <v>9</v>
      </c>
      <c r="I114" s="143">
        <f t="shared" si="7"/>
        <v>1340300</v>
      </c>
      <c r="J114" s="275">
        <f t="shared" si="7"/>
        <v>16</v>
      </c>
      <c r="K114" s="143">
        <f t="shared" si="7"/>
        <v>1822278</v>
      </c>
      <c r="L114" s="275">
        <f t="shared" si="7"/>
        <v>22</v>
      </c>
      <c r="M114" s="58"/>
      <c r="N114" s="58"/>
      <c r="O114" s="116">
        <f>B114</f>
        <v>800</v>
      </c>
      <c r="P114" s="83"/>
      <c r="Q114" s="84"/>
      <c r="R114" s="85" t="str">
        <f>C114&amp;" - Calculates automatically."</f>
        <v>TOTALS - Calculates automatically.</v>
      </c>
      <c r="S114" s="67"/>
      <c r="U114" s="63"/>
      <c r="W114" s="63"/>
      <c r="Y114" s="63"/>
      <c r="AA114" s="63"/>
      <c r="AB114" s="63"/>
      <c r="AD114" s="63"/>
      <c r="AE114" s="63"/>
    </row>
    <row r="115" spans="2:31" ht="16.95" customHeight="1" x14ac:dyDescent="0.25">
      <c r="C115" s="58"/>
      <c r="D115" s="58"/>
      <c r="E115" s="132"/>
      <c r="F115" s="280"/>
      <c r="G115" s="132"/>
      <c r="H115" s="280"/>
      <c r="I115" s="132"/>
      <c r="J115" s="280"/>
      <c r="K115" s="132"/>
      <c r="L115" s="280"/>
      <c r="M115" s="106"/>
      <c r="N115" s="106"/>
      <c r="P115" s="106"/>
      <c r="Q115" s="61"/>
      <c r="R115" s="107"/>
      <c r="S115" s="61"/>
      <c r="T115" s="106"/>
      <c r="U115" s="61"/>
      <c r="V115" s="106"/>
      <c r="W115" s="61"/>
      <c r="X115" s="106"/>
      <c r="Y115" s="61"/>
      <c r="Z115" s="58"/>
      <c r="AD115" s="66"/>
    </row>
    <row r="116" spans="2:31" s="58" customFormat="1" ht="16.95" customHeight="1" x14ac:dyDescent="0.25">
      <c r="B116" s="117"/>
      <c r="C116" s="66"/>
      <c r="E116" s="131"/>
      <c r="F116" s="280"/>
      <c r="G116" s="131"/>
      <c r="H116" s="280"/>
      <c r="I116" s="131"/>
      <c r="J116" s="280"/>
      <c r="K116" s="131"/>
      <c r="L116" s="280"/>
      <c r="O116" s="61"/>
      <c r="Q116" s="61"/>
      <c r="R116" s="109"/>
      <c r="S116" s="61"/>
      <c r="T116" s="72"/>
      <c r="U116" s="61"/>
      <c r="W116" s="61"/>
      <c r="Y116" s="61"/>
      <c r="AA116" s="64"/>
      <c r="AB116" s="65"/>
      <c r="AD116" s="66"/>
      <c r="AE116" s="67"/>
    </row>
    <row r="117" spans="2:31" s="58" customFormat="1" ht="16.95" customHeight="1" x14ac:dyDescent="0.25">
      <c r="B117" s="117"/>
      <c r="E117" s="131"/>
      <c r="F117" s="280"/>
      <c r="G117" s="131"/>
      <c r="H117" s="280"/>
      <c r="I117" s="131"/>
      <c r="J117" s="280"/>
      <c r="K117" s="131"/>
      <c r="L117" s="280"/>
      <c r="O117" s="61"/>
      <c r="Q117" s="61"/>
      <c r="R117" s="109"/>
      <c r="S117" s="61"/>
      <c r="T117" s="72"/>
      <c r="U117" s="61"/>
      <c r="W117" s="61"/>
      <c r="Y117" s="61"/>
      <c r="AA117" s="64"/>
      <c r="AB117" s="65"/>
      <c r="AD117" s="66"/>
      <c r="AE117" s="67"/>
    </row>
    <row r="118" spans="2:31" ht="16.95" customHeight="1" x14ac:dyDescent="0.25">
      <c r="H118" s="281"/>
      <c r="J118" s="281"/>
    </row>
    <row r="119" spans="2:31" ht="16.95" customHeight="1" x14ac:dyDescent="0.25">
      <c r="H119" s="281"/>
      <c r="J119" s="281"/>
    </row>
    <row r="120" spans="2:31" ht="16.95" customHeight="1" x14ac:dyDescent="0.25">
      <c r="H120" s="281"/>
      <c r="J120" s="281"/>
    </row>
    <row r="121" spans="2:31" ht="16.95" customHeight="1" x14ac:dyDescent="0.25">
      <c r="H121" s="281"/>
      <c r="J121" s="281"/>
    </row>
    <row r="122" spans="2:31" ht="16.95" customHeight="1" x14ac:dyDescent="0.25">
      <c r="H122" s="281"/>
      <c r="J122" s="281"/>
    </row>
    <row r="123" spans="2:31" ht="16.95" customHeight="1" x14ac:dyDescent="0.25">
      <c r="H123" s="281"/>
      <c r="J123" s="281"/>
    </row>
    <row r="124" spans="2:31" ht="16.95" customHeight="1" x14ac:dyDescent="0.25">
      <c r="H124" s="281"/>
      <c r="J124" s="281"/>
    </row>
    <row r="125" spans="2:31" ht="16.95" customHeight="1" x14ac:dyDescent="0.25">
      <c r="H125" s="281"/>
      <c r="J125" s="281"/>
    </row>
    <row r="126" spans="2:31" ht="16.95" customHeight="1" x14ac:dyDescent="0.25">
      <c r="H126" s="281"/>
      <c r="J126" s="281"/>
    </row>
    <row r="127" spans="2:31" ht="16.95" customHeight="1" x14ac:dyDescent="0.25">
      <c r="H127" s="281"/>
      <c r="J127" s="281"/>
    </row>
    <row r="128" spans="2:31" ht="16.95" customHeight="1" x14ac:dyDescent="0.25">
      <c r="H128" s="281"/>
      <c r="J128" s="281"/>
    </row>
    <row r="129" spans="8:10" ht="16.95" customHeight="1" x14ac:dyDescent="0.25">
      <c r="H129" s="281"/>
      <c r="J129" s="281"/>
    </row>
    <row r="130" spans="8:10" ht="16.95" customHeight="1" x14ac:dyDescent="0.25">
      <c r="H130" s="281"/>
      <c r="J130" s="281"/>
    </row>
    <row r="131" spans="8:10" ht="16.95" customHeight="1" x14ac:dyDescent="0.25">
      <c r="H131" s="281"/>
      <c r="J131" s="281"/>
    </row>
    <row r="132" spans="8:10" ht="16.95" customHeight="1" x14ac:dyDescent="0.25">
      <c r="H132" s="281"/>
      <c r="J132" s="281"/>
    </row>
    <row r="133" spans="8:10" ht="16.95" customHeight="1" x14ac:dyDescent="0.25">
      <c r="H133" s="281"/>
      <c r="J133" s="281"/>
    </row>
    <row r="134" spans="8:10" ht="16.95" customHeight="1" x14ac:dyDescent="0.25">
      <c r="H134" s="281"/>
      <c r="J134" s="281"/>
    </row>
    <row r="135" spans="8:10" ht="16.95" customHeight="1" x14ac:dyDescent="0.25">
      <c r="H135" s="281"/>
      <c r="J135" s="281"/>
    </row>
    <row r="136" spans="8:10" ht="16.95" customHeight="1" x14ac:dyDescent="0.25">
      <c r="H136" s="281"/>
      <c r="J136" s="281"/>
    </row>
    <row r="137" spans="8:10" ht="16.95" customHeight="1" x14ac:dyDescent="0.25">
      <c r="H137" s="281"/>
      <c r="J137" s="281"/>
    </row>
    <row r="138" spans="8:10" ht="16.95" customHeight="1" x14ac:dyDescent="0.25">
      <c r="H138" s="281"/>
      <c r="J138" s="281"/>
    </row>
    <row r="139" spans="8:10" ht="16.95" customHeight="1" x14ac:dyDescent="0.25">
      <c r="H139" s="281"/>
      <c r="J139" s="281"/>
    </row>
    <row r="140" spans="8:10" ht="16.95" customHeight="1" x14ac:dyDescent="0.25">
      <c r="H140" s="281"/>
      <c r="J140" s="281"/>
    </row>
    <row r="141" spans="8:10" ht="16.95" customHeight="1" x14ac:dyDescent="0.25">
      <c r="H141" s="281"/>
      <c r="J141" s="281"/>
    </row>
    <row r="142" spans="8:10" ht="16.95" customHeight="1" x14ac:dyDescent="0.25">
      <c r="H142" s="281"/>
      <c r="J142" s="281"/>
    </row>
    <row r="143" spans="8:10" ht="16.95" customHeight="1" x14ac:dyDescent="0.25">
      <c r="H143" s="281"/>
      <c r="J143" s="281"/>
    </row>
    <row r="144" spans="8:10" ht="16.95" customHeight="1" x14ac:dyDescent="0.25">
      <c r="H144" s="281"/>
      <c r="J144" s="281"/>
    </row>
    <row r="145" spans="8:10" ht="16.95" customHeight="1" x14ac:dyDescent="0.25">
      <c r="H145" s="281"/>
      <c r="J145" s="281"/>
    </row>
    <row r="146" spans="8:10" ht="16.95" customHeight="1" x14ac:dyDescent="0.25">
      <c r="H146" s="281"/>
      <c r="J146" s="281"/>
    </row>
    <row r="147" spans="8:10" ht="16.95" customHeight="1" x14ac:dyDescent="0.25">
      <c r="H147" s="281"/>
      <c r="J147" s="281"/>
    </row>
    <row r="148" spans="8:10" ht="16.95" customHeight="1" x14ac:dyDescent="0.25">
      <c r="H148" s="281"/>
      <c r="J148" s="281"/>
    </row>
    <row r="149" spans="8:10" ht="16.95" customHeight="1" x14ac:dyDescent="0.25">
      <c r="H149" s="281"/>
      <c r="J149" s="281"/>
    </row>
    <row r="150" spans="8:10" ht="16.95" customHeight="1" x14ac:dyDescent="0.25">
      <c r="H150" s="281"/>
      <c r="J150" s="281"/>
    </row>
    <row r="151" spans="8:10" ht="16.95" customHeight="1" x14ac:dyDescent="0.25">
      <c r="H151" s="281"/>
      <c r="J151" s="281"/>
    </row>
    <row r="152" spans="8:10" ht="16.95" customHeight="1" x14ac:dyDescent="0.25">
      <c r="H152" s="281"/>
      <c r="J152" s="281"/>
    </row>
    <row r="153" spans="8:10" ht="16.95" customHeight="1" x14ac:dyDescent="0.25">
      <c r="H153" s="281"/>
      <c r="J153" s="281"/>
    </row>
    <row r="154" spans="8:10" ht="16.95" customHeight="1" x14ac:dyDescent="0.25">
      <c r="H154" s="281"/>
      <c r="J154" s="281"/>
    </row>
    <row r="155" spans="8:10" ht="16.95" customHeight="1" x14ac:dyDescent="0.25">
      <c r="H155" s="281"/>
      <c r="J155" s="281"/>
    </row>
    <row r="156" spans="8:10" ht="16.95" customHeight="1" x14ac:dyDescent="0.25">
      <c r="H156" s="281"/>
      <c r="J156" s="281"/>
    </row>
    <row r="157" spans="8:10" ht="16.95" customHeight="1" x14ac:dyDescent="0.25">
      <c r="H157" s="281"/>
      <c r="J157" s="281"/>
    </row>
    <row r="158" spans="8:10" ht="16.95" customHeight="1" x14ac:dyDescent="0.25">
      <c r="H158" s="281"/>
      <c r="J158" s="281"/>
    </row>
    <row r="159" spans="8:10" ht="16.95" customHeight="1" x14ac:dyDescent="0.25">
      <c r="H159" s="281"/>
      <c r="J159" s="281"/>
    </row>
    <row r="160" spans="8:10" ht="16.95" customHeight="1" x14ac:dyDescent="0.25">
      <c r="H160" s="281"/>
      <c r="J160" s="281"/>
    </row>
    <row r="161" spans="8:10" ht="16.95" customHeight="1" x14ac:dyDescent="0.25">
      <c r="H161" s="281"/>
      <c r="J161" s="281"/>
    </row>
    <row r="162" spans="8:10" ht="16.95" customHeight="1" x14ac:dyDescent="0.25">
      <c r="H162" s="281"/>
      <c r="J162" s="281"/>
    </row>
    <row r="163" spans="8:10" ht="16.95" customHeight="1" x14ac:dyDescent="0.25">
      <c r="H163" s="281"/>
      <c r="J163" s="281"/>
    </row>
    <row r="164" spans="8:10" ht="16.95" customHeight="1" x14ac:dyDescent="0.25">
      <c r="H164" s="281"/>
      <c r="J164" s="281"/>
    </row>
    <row r="165" spans="8:10" ht="16.95" customHeight="1" x14ac:dyDescent="0.25">
      <c r="H165" s="281"/>
      <c r="J165" s="281"/>
    </row>
    <row r="166" spans="8:10" ht="16.95" customHeight="1" x14ac:dyDescent="0.25">
      <c r="H166" s="281"/>
      <c r="J166" s="281"/>
    </row>
    <row r="167" spans="8:10" ht="16.95" customHeight="1" x14ac:dyDescent="0.25">
      <c r="H167" s="281"/>
      <c r="J167" s="281"/>
    </row>
    <row r="168" spans="8:10" ht="16.95" customHeight="1" x14ac:dyDescent="0.25">
      <c r="H168" s="281"/>
      <c r="J168" s="281"/>
    </row>
    <row r="169" spans="8:10" ht="16.95" customHeight="1" x14ac:dyDescent="0.25">
      <c r="H169" s="281"/>
      <c r="J169" s="281"/>
    </row>
    <row r="170" spans="8:10" ht="16.95" customHeight="1" x14ac:dyDescent="0.25">
      <c r="H170" s="281"/>
      <c r="J170" s="281"/>
    </row>
    <row r="171" spans="8:10" ht="16.95" customHeight="1" x14ac:dyDescent="0.25">
      <c r="H171" s="281"/>
      <c r="J171" s="281"/>
    </row>
    <row r="172" spans="8:10" ht="16.95" customHeight="1" x14ac:dyDescent="0.25">
      <c r="H172" s="281"/>
      <c r="J172" s="281"/>
    </row>
    <row r="173" spans="8:10" ht="16.95" customHeight="1" x14ac:dyDescent="0.25">
      <c r="H173" s="281"/>
      <c r="J173" s="281"/>
    </row>
    <row r="174" spans="8:10" ht="16.95" customHeight="1" x14ac:dyDescent="0.25">
      <c r="H174" s="281"/>
      <c r="J174" s="281"/>
    </row>
    <row r="175" spans="8:10" ht="16.95" customHeight="1" x14ac:dyDescent="0.25">
      <c r="H175" s="281"/>
      <c r="J175" s="281"/>
    </row>
    <row r="176" spans="8:10" ht="16.95" customHeight="1" x14ac:dyDescent="0.25">
      <c r="H176" s="281"/>
      <c r="J176" s="281"/>
    </row>
    <row r="177" spans="8:10" ht="16.95" customHeight="1" x14ac:dyDescent="0.25">
      <c r="H177" s="281"/>
      <c r="J177" s="281"/>
    </row>
    <row r="178" spans="8:10" ht="16.95" customHeight="1" x14ac:dyDescent="0.25">
      <c r="H178" s="281"/>
      <c r="J178" s="281"/>
    </row>
    <row r="179" spans="8:10" ht="16.95" customHeight="1" x14ac:dyDescent="0.25">
      <c r="H179" s="281"/>
      <c r="J179" s="281"/>
    </row>
    <row r="180" spans="8:10" ht="16.95" customHeight="1" x14ac:dyDescent="0.25">
      <c r="H180" s="281"/>
      <c r="J180" s="281"/>
    </row>
    <row r="181" spans="8:10" ht="16.95" customHeight="1" x14ac:dyDescent="0.25">
      <c r="H181" s="281"/>
      <c r="J181" s="281"/>
    </row>
    <row r="182" spans="8:10" ht="16.95" customHeight="1" x14ac:dyDescent="0.25">
      <c r="H182" s="281"/>
      <c r="J182" s="281"/>
    </row>
    <row r="183" spans="8:10" ht="16.95" customHeight="1" x14ac:dyDescent="0.25">
      <c r="H183" s="281"/>
      <c r="J183" s="281"/>
    </row>
    <row r="184" spans="8:10" ht="16.95" customHeight="1" x14ac:dyDescent="0.25">
      <c r="H184" s="281"/>
      <c r="J184" s="281"/>
    </row>
    <row r="185" spans="8:10" ht="16.95" customHeight="1" x14ac:dyDescent="0.25">
      <c r="H185" s="281"/>
      <c r="J185" s="281"/>
    </row>
    <row r="186" spans="8:10" ht="16.95" customHeight="1" x14ac:dyDescent="0.25">
      <c r="H186" s="281"/>
      <c r="J186" s="281"/>
    </row>
    <row r="187" spans="8:10" ht="16.95" customHeight="1" x14ac:dyDescent="0.25">
      <c r="H187" s="281"/>
      <c r="J187" s="281"/>
    </row>
    <row r="188" spans="8:10" ht="16.95" customHeight="1" x14ac:dyDescent="0.25">
      <c r="H188" s="281"/>
      <c r="J188" s="281"/>
    </row>
    <row r="189" spans="8:10" ht="16.95" customHeight="1" x14ac:dyDescent="0.25">
      <c r="H189" s="281"/>
      <c r="J189" s="281"/>
    </row>
    <row r="190" spans="8:10" ht="16.95" customHeight="1" x14ac:dyDescent="0.25">
      <c r="H190" s="281"/>
      <c r="J190" s="281"/>
    </row>
    <row r="191" spans="8:10" ht="16.95" customHeight="1" x14ac:dyDescent="0.25">
      <c r="H191" s="281"/>
      <c r="J191" s="281"/>
    </row>
    <row r="192" spans="8:10" ht="16.95" customHeight="1" x14ac:dyDescent="0.25">
      <c r="H192" s="281"/>
      <c r="J192" s="281"/>
    </row>
    <row r="193" spans="8:10" ht="16.95" customHeight="1" x14ac:dyDescent="0.25">
      <c r="H193" s="281"/>
      <c r="J193" s="281"/>
    </row>
    <row r="194" spans="8:10" ht="16.95" customHeight="1" x14ac:dyDescent="0.25">
      <c r="H194" s="281"/>
      <c r="J194" s="281"/>
    </row>
    <row r="195" spans="8:10" ht="16.95" customHeight="1" x14ac:dyDescent="0.25">
      <c r="H195" s="281"/>
      <c r="J195" s="281"/>
    </row>
    <row r="196" spans="8:10" ht="16.95" customHeight="1" x14ac:dyDescent="0.25">
      <c r="H196" s="281"/>
      <c r="J196" s="281"/>
    </row>
    <row r="197" spans="8:10" ht="16.95" customHeight="1" x14ac:dyDescent="0.25">
      <c r="H197" s="281"/>
      <c r="J197" s="281"/>
    </row>
    <row r="198" spans="8:10" ht="16.95" customHeight="1" x14ac:dyDescent="0.25">
      <c r="H198" s="281"/>
      <c r="J198" s="281"/>
    </row>
    <row r="199" spans="8:10" ht="16.95" customHeight="1" x14ac:dyDescent="0.25">
      <c r="H199" s="281"/>
      <c r="J199" s="281"/>
    </row>
    <row r="200" spans="8:10" ht="16.95" customHeight="1" x14ac:dyDescent="0.25">
      <c r="H200" s="281"/>
      <c r="J200" s="281"/>
    </row>
    <row r="201" spans="8:10" ht="16.95" customHeight="1" x14ac:dyDescent="0.25">
      <c r="H201" s="281"/>
      <c r="J201" s="281"/>
    </row>
    <row r="202" spans="8:10" ht="16.95" customHeight="1" x14ac:dyDescent="0.25">
      <c r="H202" s="281"/>
      <c r="J202" s="281"/>
    </row>
    <row r="203" spans="8:10" ht="16.95" customHeight="1" x14ac:dyDescent="0.25">
      <c r="H203" s="281"/>
      <c r="J203" s="281"/>
    </row>
    <row r="204" spans="8:10" ht="16.95" customHeight="1" x14ac:dyDescent="0.25">
      <c r="H204" s="281"/>
      <c r="J204" s="281"/>
    </row>
    <row r="205" spans="8:10" ht="16.95" customHeight="1" x14ac:dyDescent="0.25">
      <c r="H205" s="281"/>
      <c r="J205" s="281"/>
    </row>
    <row r="206" spans="8:10" ht="16.95" customHeight="1" x14ac:dyDescent="0.25">
      <c r="H206" s="281"/>
      <c r="J206" s="281"/>
    </row>
    <row r="207" spans="8:10" ht="16.95" customHeight="1" x14ac:dyDescent="0.25">
      <c r="H207" s="281"/>
      <c r="J207" s="281"/>
    </row>
    <row r="208" spans="8:10" ht="16.95" customHeight="1" x14ac:dyDescent="0.25">
      <c r="H208" s="281"/>
      <c r="J208" s="281"/>
    </row>
    <row r="209" spans="8:10" ht="16.95" customHeight="1" x14ac:dyDescent="0.25">
      <c r="H209" s="281"/>
      <c r="J209" s="281"/>
    </row>
    <row r="210" spans="8:10" ht="16.95" customHeight="1" x14ac:dyDescent="0.25">
      <c r="H210" s="281"/>
      <c r="J210" s="281"/>
    </row>
    <row r="211" spans="8:10" ht="16.95" customHeight="1" x14ac:dyDescent="0.25">
      <c r="H211" s="281"/>
      <c r="J211" s="281"/>
    </row>
    <row r="212" spans="8:10" ht="16.95" customHeight="1" x14ac:dyDescent="0.25">
      <c r="H212" s="281"/>
      <c r="J212" s="281"/>
    </row>
    <row r="213" spans="8:10" ht="16.95" customHeight="1" x14ac:dyDescent="0.25">
      <c r="H213" s="281"/>
      <c r="J213" s="281"/>
    </row>
    <row r="214" spans="8:10" ht="16.95" customHeight="1" x14ac:dyDescent="0.25">
      <c r="H214" s="281"/>
      <c r="J214" s="281"/>
    </row>
    <row r="215" spans="8:10" ht="16.95" customHeight="1" x14ac:dyDescent="0.25">
      <c r="H215" s="281"/>
      <c r="J215" s="281"/>
    </row>
    <row r="216" spans="8:10" ht="16.95" customHeight="1" x14ac:dyDescent="0.25">
      <c r="H216" s="281"/>
      <c r="J216" s="281"/>
    </row>
    <row r="217" spans="8:10" ht="16.95" customHeight="1" x14ac:dyDescent="0.25">
      <c r="H217" s="281"/>
      <c r="J217" s="281"/>
    </row>
    <row r="218" spans="8:10" ht="16.95" customHeight="1" x14ac:dyDescent="0.25">
      <c r="H218" s="281"/>
      <c r="J218" s="281"/>
    </row>
    <row r="219" spans="8:10" ht="16.95" customHeight="1" x14ac:dyDescent="0.25">
      <c r="H219" s="281"/>
      <c r="J219" s="281"/>
    </row>
    <row r="220" spans="8:10" ht="16.95" customHeight="1" x14ac:dyDescent="0.25">
      <c r="H220" s="281"/>
      <c r="J220" s="281"/>
    </row>
    <row r="221" spans="8:10" ht="16.95" customHeight="1" x14ac:dyDescent="0.25">
      <c r="H221" s="281"/>
      <c r="J221" s="281"/>
    </row>
    <row r="222" spans="8:10" ht="16.95" customHeight="1" x14ac:dyDescent="0.25">
      <c r="H222" s="281"/>
      <c r="J222" s="281"/>
    </row>
    <row r="223" spans="8:10" ht="16.95" customHeight="1" x14ac:dyDescent="0.25">
      <c r="H223" s="281"/>
      <c r="J223" s="281"/>
    </row>
    <row r="224" spans="8:10" ht="16.95" customHeight="1" x14ac:dyDescent="0.25">
      <c r="H224" s="281"/>
      <c r="J224" s="281"/>
    </row>
    <row r="225" spans="8:10" ht="16.95" customHeight="1" x14ac:dyDescent="0.25">
      <c r="H225" s="281"/>
      <c r="J225" s="281"/>
    </row>
    <row r="226" spans="8:10" ht="16.95" customHeight="1" x14ac:dyDescent="0.25">
      <c r="H226" s="281"/>
      <c r="J226" s="281"/>
    </row>
    <row r="227" spans="8:10" ht="16.95" customHeight="1" x14ac:dyDescent="0.25">
      <c r="H227" s="281"/>
      <c r="J227" s="281"/>
    </row>
    <row r="228" spans="8:10" ht="16.95" customHeight="1" x14ac:dyDescent="0.25">
      <c r="H228" s="281"/>
      <c r="J228" s="281"/>
    </row>
    <row r="229" spans="8:10" ht="16.95" customHeight="1" x14ac:dyDescent="0.25">
      <c r="H229" s="281"/>
      <c r="J229" s="281"/>
    </row>
    <row r="230" spans="8:10" ht="16.95" customHeight="1" x14ac:dyDescent="0.25">
      <c r="H230" s="281"/>
      <c r="J230" s="281"/>
    </row>
    <row r="231" spans="8:10" ht="16.95" customHeight="1" x14ac:dyDescent="0.25">
      <c r="H231" s="281"/>
      <c r="J231" s="281"/>
    </row>
    <row r="232" spans="8:10" ht="16.95" customHeight="1" x14ac:dyDescent="0.25">
      <c r="H232" s="281"/>
      <c r="J232" s="281"/>
    </row>
    <row r="233" spans="8:10" ht="16.95" customHeight="1" x14ac:dyDescent="0.25">
      <c r="H233" s="281"/>
      <c r="J233" s="281"/>
    </row>
    <row r="234" spans="8:10" ht="16.95" customHeight="1" x14ac:dyDescent="0.25">
      <c r="H234" s="281"/>
      <c r="J234" s="281"/>
    </row>
    <row r="235" spans="8:10" ht="16.95" customHeight="1" x14ac:dyDescent="0.25">
      <c r="H235" s="281"/>
      <c r="J235" s="281"/>
    </row>
    <row r="236" spans="8:10" ht="16.95" customHeight="1" x14ac:dyDescent="0.25">
      <c r="H236" s="281"/>
      <c r="J236" s="281"/>
    </row>
    <row r="237" spans="8:10" ht="16.95" customHeight="1" x14ac:dyDescent="0.25">
      <c r="H237" s="281"/>
      <c r="J237" s="281"/>
    </row>
    <row r="238" spans="8:10" ht="16.95" customHeight="1" x14ac:dyDescent="0.25">
      <c r="H238" s="281"/>
      <c r="J238" s="281"/>
    </row>
    <row r="239" spans="8:10" ht="16.95" customHeight="1" x14ac:dyDescent="0.25">
      <c r="H239" s="281"/>
      <c r="J239" s="281"/>
    </row>
    <row r="240" spans="8:10" ht="16.95" customHeight="1" x14ac:dyDescent="0.25">
      <c r="H240" s="281"/>
      <c r="J240" s="281"/>
    </row>
    <row r="241" spans="8:10" ht="16.95" customHeight="1" x14ac:dyDescent="0.25">
      <c r="H241" s="281"/>
      <c r="J241" s="281"/>
    </row>
    <row r="242" spans="8:10" ht="16.95" customHeight="1" x14ac:dyDescent="0.25">
      <c r="H242" s="281"/>
      <c r="J242" s="281"/>
    </row>
    <row r="243" spans="8:10" ht="16.95" customHeight="1" x14ac:dyDescent="0.25">
      <c r="H243" s="281"/>
      <c r="J243" s="281"/>
    </row>
    <row r="244" spans="8:10" ht="16.95" customHeight="1" x14ac:dyDescent="0.25">
      <c r="H244" s="281"/>
      <c r="J244" s="281"/>
    </row>
    <row r="245" spans="8:10" ht="16.95" customHeight="1" x14ac:dyDescent="0.25">
      <c r="H245" s="281"/>
      <c r="J245" s="281"/>
    </row>
    <row r="246" spans="8:10" ht="16.95" customHeight="1" x14ac:dyDescent="0.25">
      <c r="H246" s="281"/>
      <c r="J246" s="281"/>
    </row>
    <row r="247" spans="8:10" ht="16.95" customHeight="1" x14ac:dyDescent="0.25">
      <c r="H247" s="281"/>
      <c r="J247" s="281"/>
    </row>
    <row r="248" spans="8:10" ht="16.95" customHeight="1" x14ac:dyDescent="0.25">
      <c r="H248" s="281"/>
      <c r="J248" s="281"/>
    </row>
    <row r="249" spans="8:10" ht="16.95" customHeight="1" x14ac:dyDescent="0.25">
      <c r="H249" s="281"/>
      <c r="J249" s="281"/>
    </row>
    <row r="250" spans="8:10" ht="16.95" customHeight="1" x14ac:dyDescent="0.25">
      <c r="H250" s="281"/>
      <c r="J250" s="281"/>
    </row>
    <row r="251" spans="8:10" ht="16.95" customHeight="1" x14ac:dyDescent="0.25">
      <c r="H251" s="281"/>
      <c r="J251" s="281"/>
    </row>
    <row r="252" spans="8:10" ht="16.95" customHeight="1" x14ac:dyDescent="0.25">
      <c r="H252" s="281"/>
      <c r="J252" s="281"/>
    </row>
    <row r="253" spans="8:10" ht="16.95" customHeight="1" x14ac:dyDescent="0.25">
      <c r="H253" s="281"/>
      <c r="J253" s="281"/>
    </row>
    <row r="254" spans="8:10" ht="16.95" customHeight="1" x14ac:dyDescent="0.25">
      <c r="H254" s="281"/>
      <c r="J254" s="281"/>
    </row>
    <row r="255" spans="8:10" ht="16.95" customHeight="1" x14ac:dyDescent="0.25">
      <c r="H255" s="281"/>
      <c r="J255" s="281"/>
    </row>
    <row r="256" spans="8:10" ht="16.95" customHeight="1" x14ac:dyDescent="0.25">
      <c r="H256" s="281"/>
      <c r="J256" s="281"/>
    </row>
    <row r="257" spans="8:10" ht="16.95" customHeight="1" x14ac:dyDescent="0.25">
      <c r="H257" s="281"/>
      <c r="J257" s="281"/>
    </row>
    <row r="258" spans="8:10" ht="16.95" customHeight="1" x14ac:dyDescent="0.25">
      <c r="H258" s="281"/>
      <c r="J258" s="281"/>
    </row>
    <row r="259" spans="8:10" ht="16.95" customHeight="1" x14ac:dyDescent="0.25">
      <c r="H259" s="281"/>
      <c r="J259" s="281"/>
    </row>
    <row r="260" spans="8:10" ht="16.95" customHeight="1" x14ac:dyDescent="0.25">
      <c r="H260" s="281"/>
      <c r="J260" s="281"/>
    </row>
    <row r="261" spans="8:10" ht="16.95" customHeight="1" x14ac:dyDescent="0.25">
      <c r="H261" s="281"/>
      <c r="J261" s="281"/>
    </row>
    <row r="262" spans="8:10" ht="16.95" customHeight="1" x14ac:dyDescent="0.25">
      <c r="H262" s="281"/>
      <c r="J262" s="281"/>
    </row>
  </sheetData>
  <mergeCells count="3">
    <mergeCell ref="K2:L2"/>
    <mergeCell ref="K5:L5"/>
    <mergeCell ref="E4:L4"/>
  </mergeCells>
  <pageMargins left="0.75" right="0.4" top="0.4" bottom="0.38" header="0.25" footer="0.25"/>
  <pageSetup paperSize="17" scale="76" orientation="landscape" r:id="rId1"/>
  <headerFooter alignWithMargins="0">
    <oddHeader>&amp;R&amp;"Arial,Bold"Page &amp;P</oddHeader>
  </headerFooter>
  <rowBreaks count="3" manualBreakCount="3">
    <brk id="42" max="11" man="1"/>
    <brk id="66" max="11" man="1"/>
    <brk id="99" max="11" man="1"/>
  </rowBreaks>
  <colBreaks count="1" manualBreakCount="1">
    <brk id="18" max="115" man="1"/>
  </colBreaks>
  <ignoredErrors>
    <ignoredError sqref="E13:K17 E42:J78 E86:J86 K42:K75 K77:K88" formula="1"/>
    <ignoredError sqref="E18:K39" formula="1"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F20"/>
  <sheetViews>
    <sheetView workbookViewId="0"/>
  </sheetViews>
  <sheetFormatPr defaultColWidth="10.77734375" defaultRowHeight="18" customHeight="1" x14ac:dyDescent="0.25"/>
  <cols>
    <col min="1" max="1" width="3.6640625" style="454" customWidth="1"/>
    <col min="2" max="2" width="34.77734375" style="454" customWidth="1"/>
    <col min="3" max="6" width="15.6640625" style="454" customWidth="1"/>
    <col min="7" max="16384" width="10.77734375" style="454"/>
  </cols>
  <sheetData>
    <row r="1" spans="2:6" ht="18" customHeight="1" thickBot="1" x14ac:dyDescent="0.3"/>
    <row r="2" spans="2:6" ht="18" customHeight="1" thickBot="1" x14ac:dyDescent="0.3">
      <c r="B2" s="421" t="s">
        <v>348</v>
      </c>
    </row>
    <row r="3" spans="2:6" ht="18" customHeight="1" thickBot="1" x14ac:dyDescent="0.3">
      <c r="B3" s="422" t="s">
        <v>722</v>
      </c>
    </row>
    <row r="5" spans="2:6" ht="18" customHeight="1" x14ac:dyDescent="0.25">
      <c r="B5" s="462" t="s">
        <v>705</v>
      </c>
      <c r="C5" s="456" t="s">
        <v>695</v>
      </c>
      <c r="D5" s="456" t="s">
        <v>697</v>
      </c>
      <c r="E5" s="456" t="s">
        <v>696</v>
      </c>
      <c r="F5" s="456" t="s">
        <v>698</v>
      </c>
    </row>
    <row r="6" spans="2:6" ht="18" customHeight="1" x14ac:dyDescent="0.25">
      <c r="B6" s="454" t="s">
        <v>706</v>
      </c>
      <c r="C6" s="455" t="s">
        <v>544</v>
      </c>
      <c r="D6" s="455" t="s">
        <v>545</v>
      </c>
      <c r="E6" s="455" t="s">
        <v>546</v>
      </c>
      <c r="F6" s="455" t="s">
        <v>572</v>
      </c>
    </row>
    <row r="7" spans="2:6" ht="18" customHeight="1" x14ac:dyDescent="0.25">
      <c r="B7" s="454" t="s">
        <v>704</v>
      </c>
      <c r="C7" s="454">
        <v>0</v>
      </c>
      <c r="D7" s="454">
        <v>100</v>
      </c>
      <c r="E7" s="454">
        <v>200</v>
      </c>
      <c r="F7" s="454">
        <v>300</v>
      </c>
    </row>
    <row r="9" spans="2:6" ht="18" customHeight="1" x14ac:dyDescent="0.25">
      <c r="B9" s="454" t="s">
        <v>700</v>
      </c>
      <c r="C9" s="454">
        <v>0</v>
      </c>
      <c r="D9" s="454">
        <f>'A3. Estimated Cash Flow Yr 1'!D11+'A3. Estimated Cash Flow Yr 1'!D12</f>
        <v>691120.41249999998</v>
      </c>
      <c r="E9" s="454">
        <f>'A3. Estimated Cash Flow Yr 2'!D11+'A3. Estimated Cash Flow Yr 2'!D12</f>
        <v>1382239.42</v>
      </c>
      <c r="F9" s="454">
        <f>'A3. Estimated Cash Flow Yr 3'!D11+'A3. Estimated Cash Flow Yr 3'!D12</f>
        <v>2073358.42</v>
      </c>
    </row>
    <row r="10" spans="2:6" ht="18" customHeight="1" x14ac:dyDescent="0.25">
      <c r="B10" s="454" t="s">
        <v>701</v>
      </c>
      <c r="C10" s="459">
        <f>'A1. BudgetSumm'!F34</f>
        <v>313600</v>
      </c>
      <c r="D10" s="459">
        <f>'A1. BudgetSumm'!G34</f>
        <v>868200</v>
      </c>
      <c r="E10" s="459">
        <f>'A1. BudgetSumm'!H34</f>
        <v>1340300</v>
      </c>
      <c r="F10" s="459">
        <f>'A1. BudgetSumm'!I34</f>
        <v>1822278</v>
      </c>
    </row>
    <row r="11" spans="2:6" ht="18" customHeight="1" x14ac:dyDescent="0.25">
      <c r="B11" s="458" t="s">
        <v>699</v>
      </c>
      <c r="C11" s="460">
        <f>C9-C10</f>
        <v>-313600</v>
      </c>
      <c r="D11" s="460">
        <f>D9-D10</f>
        <v>-177079.58750000002</v>
      </c>
      <c r="E11" s="461">
        <f>E9-E10</f>
        <v>41939.419999999925</v>
      </c>
      <c r="F11" s="461">
        <f>F9-F10</f>
        <v>251080.41999999993</v>
      </c>
    </row>
    <row r="12" spans="2:6" ht="18" customHeight="1" x14ac:dyDescent="0.25">
      <c r="B12" s="454" t="s">
        <v>702</v>
      </c>
      <c r="C12" s="464">
        <f>'Funding Pool'!D20</f>
        <v>400000</v>
      </c>
      <c r="D12" s="464">
        <f>'Funding Pool'!E20</f>
        <v>300000</v>
      </c>
      <c r="E12" s="464">
        <f>'Funding Pool'!F20</f>
        <v>200000</v>
      </c>
      <c r="F12" s="464">
        <f>'Funding Pool'!G20</f>
        <v>100000</v>
      </c>
    </row>
    <row r="13" spans="2:6" ht="18" customHeight="1" x14ac:dyDescent="0.25">
      <c r="B13" s="457" t="s">
        <v>703</v>
      </c>
      <c r="C13" s="463">
        <f>C12+C11</f>
        <v>86400</v>
      </c>
      <c r="D13" s="463">
        <f t="shared" ref="D13:F13" si="0">D12+D11</f>
        <v>122920.41249999998</v>
      </c>
      <c r="E13" s="463">
        <f t="shared" si="0"/>
        <v>241939.41999999993</v>
      </c>
      <c r="F13" s="463">
        <f t="shared" si="0"/>
        <v>351080.41999999993</v>
      </c>
    </row>
    <row r="20" spans="4:4" ht="18" customHeight="1" x14ac:dyDescent="0.25">
      <c r="D20" s="465"/>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42"/>
  <sheetViews>
    <sheetView zoomScale="41" zoomScaleNormal="41" workbookViewId="0">
      <selection activeCell="S61" sqref="S61"/>
    </sheetView>
  </sheetViews>
  <sheetFormatPr defaultColWidth="8.77734375" defaultRowHeight="16.95" customHeight="1" outlineLevelCol="1" x14ac:dyDescent="0.25"/>
  <cols>
    <col min="1" max="1" width="8.77734375" style="173"/>
    <col min="2" max="2" width="53.77734375" style="174" bestFit="1" customWidth="1"/>
    <col min="3" max="3" width="2.109375" style="174" customWidth="1"/>
    <col min="4" max="4" width="9.77734375" style="174" customWidth="1"/>
    <col min="5" max="16" width="9.77734375" style="174" customWidth="1" outlineLevel="1"/>
    <col min="17" max="17" width="3.44140625" style="174" customWidth="1"/>
    <col min="18" max="18" width="6.77734375" style="173" customWidth="1"/>
    <col min="19" max="19" width="121.6640625" style="175" customWidth="1"/>
    <col min="20" max="257" width="8.77734375" style="174"/>
    <col min="258" max="258" width="53.77734375" style="174" bestFit="1" customWidth="1"/>
    <col min="259" max="259" width="2.109375" style="174" customWidth="1"/>
    <col min="260" max="260" width="10" style="174" bestFit="1" customWidth="1"/>
    <col min="261" max="261" width="9.44140625" style="174" bestFit="1" customWidth="1"/>
    <col min="262" max="262" width="10" style="174" customWidth="1"/>
    <col min="263" max="263" width="11" style="174" customWidth="1"/>
    <col min="264" max="264" width="10" style="174" customWidth="1"/>
    <col min="265" max="266" width="10.33203125" style="174" customWidth="1"/>
    <col min="267" max="268" width="10" style="174" customWidth="1"/>
    <col min="269" max="272" width="9" style="174" bestFit="1" customWidth="1"/>
    <col min="273" max="273" width="3.44140625" style="174" customWidth="1"/>
    <col min="274" max="274" width="6.77734375" style="174" customWidth="1"/>
    <col min="275" max="275" width="55.44140625" style="174" customWidth="1"/>
    <col min="276" max="513" width="8.77734375" style="174"/>
    <col min="514" max="514" width="53.77734375" style="174" bestFit="1" customWidth="1"/>
    <col min="515" max="515" width="2.109375" style="174" customWidth="1"/>
    <col min="516" max="516" width="10" style="174" bestFit="1" customWidth="1"/>
    <col min="517" max="517" width="9.44140625" style="174" bestFit="1" customWidth="1"/>
    <col min="518" max="518" width="10" style="174" customWidth="1"/>
    <col min="519" max="519" width="11" style="174" customWidth="1"/>
    <col min="520" max="520" width="10" style="174" customWidth="1"/>
    <col min="521" max="522" width="10.33203125" style="174" customWidth="1"/>
    <col min="523" max="524" width="10" style="174" customWidth="1"/>
    <col min="525" max="528" width="9" style="174" bestFit="1" customWidth="1"/>
    <col min="529" max="529" width="3.44140625" style="174" customWidth="1"/>
    <col min="530" max="530" width="6.77734375" style="174" customWidth="1"/>
    <col min="531" max="531" width="55.44140625" style="174" customWidth="1"/>
    <col min="532" max="769" width="8.77734375" style="174"/>
    <col min="770" max="770" width="53.77734375" style="174" bestFit="1" customWidth="1"/>
    <col min="771" max="771" width="2.109375" style="174" customWidth="1"/>
    <col min="772" max="772" width="10" style="174" bestFit="1" customWidth="1"/>
    <col min="773" max="773" width="9.44140625" style="174" bestFit="1" customWidth="1"/>
    <col min="774" max="774" width="10" style="174" customWidth="1"/>
    <col min="775" max="775" width="11" style="174" customWidth="1"/>
    <col min="776" max="776" width="10" style="174" customWidth="1"/>
    <col min="777" max="778" width="10.33203125" style="174" customWidth="1"/>
    <col min="779" max="780" width="10" style="174" customWidth="1"/>
    <col min="781" max="784" width="9" style="174" bestFit="1" customWidth="1"/>
    <col min="785" max="785" width="3.44140625" style="174" customWidth="1"/>
    <col min="786" max="786" width="6.77734375" style="174" customWidth="1"/>
    <col min="787" max="787" width="55.44140625" style="174" customWidth="1"/>
    <col min="788" max="1025" width="8.77734375" style="174"/>
    <col min="1026" max="1026" width="53.77734375" style="174" bestFit="1" customWidth="1"/>
    <col min="1027" max="1027" width="2.109375" style="174" customWidth="1"/>
    <col min="1028" max="1028" width="10" style="174" bestFit="1" customWidth="1"/>
    <col min="1029" max="1029" width="9.44140625" style="174" bestFit="1" customWidth="1"/>
    <col min="1030" max="1030" width="10" style="174" customWidth="1"/>
    <col min="1031" max="1031" width="11" style="174" customWidth="1"/>
    <col min="1032" max="1032" width="10" style="174" customWidth="1"/>
    <col min="1033" max="1034" width="10.33203125" style="174" customWidth="1"/>
    <col min="1035" max="1036" width="10" style="174" customWidth="1"/>
    <col min="1037" max="1040" width="9" style="174" bestFit="1" customWidth="1"/>
    <col min="1041" max="1041" width="3.44140625" style="174" customWidth="1"/>
    <col min="1042" max="1042" width="6.77734375" style="174" customWidth="1"/>
    <col min="1043" max="1043" width="55.44140625" style="174" customWidth="1"/>
    <col min="1044" max="1281" width="8.77734375" style="174"/>
    <col min="1282" max="1282" width="53.77734375" style="174" bestFit="1" customWidth="1"/>
    <col min="1283" max="1283" width="2.109375" style="174" customWidth="1"/>
    <col min="1284" max="1284" width="10" style="174" bestFit="1" customWidth="1"/>
    <col min="1285" max="1285" width="9.44140625" style="174" bestFit="1" customWidth="1"/>
    <col min="1286" max="1286" width="10" style="174" customWidth="1"/>
    <col min="1287" max="1287" width="11" style="174" customWidth="1"/>
    <col min="1288" max="1288" width="10" style="174" customWidth="1"/>
    <col min="1289" max="1290" width="10.33203125" style="174" customWidth="1"/>
    <col min="1291" max="1292" width="10" style="174" customWidth="1"/>
    <col min="1293" max="1296" width="9" style="174" bestFit="1" customWidth="1"/>
    <col min="1297" max="1297" width="3.44140625" style="174" customWidth="1"/>
    <col min="1298" max="1298" width="6.77734375" style="174" customWidth="1"/>
    <col min="1299" max="1299" width="55.44140625" style="174" customWidth="1"/>
    <col min="1300" max="1537" width="8.77734375" style="174"/>
    <col min="1538" max="1538" width="53.77734375" style="174" bestFit="1" customWidth="1"/>
    <col min="1539" max="1539" width="2.109375" style="174" customWidth="1"/>
    <col min="1540" max="1540" width="10" style="174" bestFit="1" customWidth="1"/>
    <col min="1541" max="1541" width="9.44140625" style="174" bestFit="1" customWidth="1"/>
    <col min="1542" max="1542" width="10" style="174" customWidth="1"/>
    <col min="1543" max="1543" width="11" style="174" customWidth="1"/>
    <col min="1544" max="1544" width="10" style="174" customWidth="1"/>
    <col min="1545" max="1546" width="10.33203125" style="174" customWidth="1"/>
    <col min="1547" max="1548" width="10" style="174" customWidth="1"/>
    <col min="1549" max="1552" width="9" style="174" bestFit="1" customWidth="1"/>
    <col min="1553" max="1553" width="3.44140625" style="174" customWidth="1"/>
    <col min="1554" max="1554" width="6.77734375" style="174" customWidth="1"/>
    <col min="1555" max="1555" width="55.44140625" style="174" customWidth="1"/>
    <col min="1556" max="1793" width="8.77734375" style="174"/>
    <col min="1794" max="1794" width="53.77734375" style="174" bestFit="1" customWidth="1"/>
    <col min="1795" max="1795" width="2.109375" style="174" customWidth="1"/>
    <col min="1796" max="1796" width="10" style="174" bestFit="1" customWidth="1"/>
    <col min="1797" max="1797" width="9.44140625" style="174" bestFit="1" customWidth="1"/>
    <col min="1798" max="1798" width="10" style="174" customWidth="1"/>
    <col min="1799" max="1799" width="11" style="174" customWidth="1"/>
    <col min="1800" max="1800" width="10" style="174" customWidth="1"/>
    <col min="1801" max="1802" width="10.33203125" style="174" customWidth="1"/>
    <col min="1803" max="1804" width="10" style="174" customWidth="1"/>
    <col min="1805" max="1808" width="9" style="174" bestFit="1" customWidth="1"/>
    <col min="1809" max="1809" width="3.44140625" style="174" customWidth="1"/>
    <col min="1810" max="1810" width="6.77734375" style="174" customWidth="1"/>
    <col min="1811" max="1811" width="55.44140625" style="174" customWidth="1"/>
    <col min="1812" max="2049" width="8.77734375" style="174"/>
    <col min="2050" max="2050" width="53.77734375" style="174" bestFit="1" customWidth="1"/>
    <col min="2051" max="2051" width="2.109375" style="174" customWidth="1"/>
    <col min="2052" max="2052" width="10" style="174" bestFit="1" customWidth="1"/>
    <col min="2053" max="2053" width="9.44140625" style="174" bestFit="1" customWidth="1"/>
    <col min="2054" max="2054" width="10" style="174" customWidth="1"/>
    <col min="2055" max="2055" width="11" style="174" customWidth="1"/>
    <col min="2056" max="2056" width="10" style="174" customWidth="1"/>
    <col min="2057" max="2058" width="10.33203125" style="174" customWidth="1"/>
    <col min="2059" max="2060" width="10" style="174" customWidth="1"/>
    <col min="2061" max="2064" width="9" style="174" bestFit="1" customWidth="1"/>
    <col min="2065" max="2065" width="3.44140625" style="174" customWidth="1"/>
    <col min="2066" max="2066" width="6.77734375" style="174" customWidth="1"/>
    <col min="2067" max="2067" width="55.44140625" style="174" customWidth="1"/>
    <col min="2068" max="2305" width="8.77734375" style="174"/>
    <col min="2306" max="2306" width="53.77734375" style="174" bestFit="1" customWidth="1"/>
    <col min="2307" max="2307" width="2.109375" style="174" customWidth="1"/>
    <col min="2308" max="2308" width="10" style="174" bestFit="1" customWidth="1"/>
    <col min="2309" max="2309" width="9.44140625" style="174" bestFit="1" customWidth="1"/>
    <col min="2310" max="2310" width="10" style="174" customWidth="1"/>
    <col min="2311" max="2311" width="11" style="174" customWidth="1"/>
    <col min="2312" max="2312" width="10" style="174" customWidth="1"/>
    <col min="2313" max="2314" width="10.33203125" style="174" customWidth="1"/>
    <col min="2315" max="2316" width="10" style="174" customWidth="1"/>
    <col min="2317" max="2320" width="9" style="174" bestFit="1" customWidth="1"/>
    <col min="2321" max="2321" width="3.44140625" style="174" customWidth="1"/>
    <col min="2322" max="2322" width="6.77734375" style="174" customWidth="1"/>
    <col min="2323" max="2323" width="55.44140625" style="174" customWidth="1"/>
    <col min="2324" max="2561" width="8.77734375" style="174"/>
    <col min="2562" max="2562" width="53.77734375" style="174" bestFit="1" customWidth="1"/>
    <col min="2563" max="2563" width="2.109375" style="174" customWidth="1"/>
    <col min="2564" max="2564" width="10" style="174" bestFit="1" customWidth="1"/>
    <col min="2565" max="2565" width="9.44140625" style="174" bestFit="1" customWidth="1"/>
    <col min="2566" max="2566" width="10" style="174" customWidth="1"/>
    <col min="2567" max="2567" width="11" style="174" customWidth="1"/>
    <col min="2568" max="2568" width="10" style="174" customWidth="1"/>
    <col min="2569" max="2570" width="10.33203125" style="174" customWidth="1"/>
    <col min="2571" max="2572" width="10" style="174" customWidth="1"/>
    <col min="2573" max="2576" width="9" style="174" bestFit="1" customWidth="1"/>
    <col min="2577" max="2577" width="3.44140625" style="174" customWidth="1"/>
    <col min="2578" max="2578" width="6.77734375" style="174" customWidth="1"/>
    <col min="2579" max="2579" width="55.44140625" style="174" customWidth="1"/>
    <col min="2580" max="2817" width="8.77734375" style="174"/>
    <col min="2818" max="2818" width="53.77734375" style="174" bestFit="1" customWidth="1"/>
    <col min="2819" max="2819" width="2.109375" style="174" customWidth="1"/>
    <col min="2820" max="2820" width="10" style="174" bestFit="1" customWidth="1"/>
    <col min="2821" max="2821" width="9.44140625" style="174" bestFit="1" customWidth="1"/>
    <col min="2822" max="2822" width="10" style="174" customWidth="1"/>
    <col min="2823" max="2823" width="11" style="174" customWidth="1"/>
    <col min="2824" max="2824" width="10" style="174" customWidth="1"/>
    <col min="2825" max="2826" width="10.33203125" style="174" customWidth="1"/>
    <col min="2827" max="2828" width="10" style="174" customWidth="1"/>
    <col min="2829" max="2832" width="9" style="174" bestFit="1" customWidth="1"/>
    <col min="2833" max="2833" width="3.44140625" style="174" customWidth="1"/>
    <col min="2834" max="2834" width="6.77734375" style="174" customWidth="1"/>
    <col min="2835" max="2835" width="55.44140625" style="174" customWidth="1"/>
    <col min="2836" max="3073" width="8.77734375" style="174"/>
    <col min="3074" max="3074" width="53.77734375" style="174" bestFit="1" customWidth="1"/>
    <col min="3075" max="3075" width="2.109375" style="174" customWidth="1"/>
    <col min="3076" max="3076" width="10" style="174" bestFit="1" customWidth="1"/>
    <col min="3077" max="3077" width="9.44140625" style="174" bestFit="1" customWidth="1"/>
    <col min="3078" max="3078" width="10" style="174" customWidth="1"/>
    <col min="3079" max="3079" width="11" style="174" customWidth="1"/>
    <col min="3080" max="3080" width="10" style="174" customWidth="1"/>
    <col min="3081" max="3082" width="10.33203125" style="174" customWidth="1"/>
    <col min="3083" max="3084" width="10" style="174" customWidth="1"/>
    <col min="3085" max="3088" width="9" style="174" bestFit="1" customWidth="1"/>
    <col min="3089" max="3089" width="3.44140625" style="174" customWidth="1"/>
    <col min="3090" max="3090" width="6.77734375" style="174" customWidth="1"/>
    <col min="3091" max="3091" width="55.44140625" style="174" customWidth="1"/>
    <col min="3092" max="3329" width="8.77734375" style="174"/>
    <col min="3330" max="3330" width="53.77734375" style="174" bestFit="1" customWidth="1"/>
    <col min="3331" max="3331" width="2.109375" style="174" customWidth="1"/>
    <col min="3332" max="3332" width="10" style="174" bestFit="1" customWidth="1"/>
    <col min="3333" max="3333" width="9.44140625" style="174" bestFit="1" customWidth="1"/>
    <col min="3334" max="3334" width="10" style="174" customWidth="1"/>
    <col min="3335" max="3335" width="11" style="174" customWidth="1"/>
    <col min="3336" max="3336" width="10" style="174" customWidth="1"/>
    <col min="3337" max="3338" width="10.33203125" style="174" customWidth="1"/>
    <col min="3339" max="3340" width="10" style="174" customWidth="1"/>
    <col min="3341" max="3344" width="9" style="174" bestFit="1" customWidth="1"/>
    <col min="3345" max="3345" width="3.44140625" style="174" customWidth="1"/>
    <col min="3346" max="3346" width="6.77734375" style="174" customWidth="1"/>
    <col min="3347" max="3347" width="55.44140625" style="174" customWidth="1"/>
    <col min="3348" max="3585" width="8.77734375" style="174"/>
    <col min="3586" max="3586" width="53.77734375" style="174" bestFit="1" customWidth="1"/>
    <col min="3587" max="3587" width="2.109375" style="174" customWidth="1"/>
    <col min="3588" max="3588" width="10" style="174" bestFit="1" customWidth="1"/>
    <col min="3589" max="3589" width="9.44140625" style="174" bestFit="1" customWidth="1"/>
    <col min="3590" max="3590" width="10" style="174" customWidth="1"/>
    <col min="3591" max="3591" width="11" style="174" customWidth="1"/>
    <col min="3592" max="3592" width="10" style="174" customWidth="1"/>
    <col min="3593" max="3594" width="10.33203125" style="174" customWidth="1"/>
    <col min="3595" max="3596" width="10" style="174" customWidth="1"/>
    <col min="3597" max="3600" width="9" style="174" bestFit="1" customWidth="1"/>
    <col min="3601" max="3601" width="3.44140625" style="174" customWidth="1"/>
    <col min="3602" max="3602" width="6.77734375" style="174" customWidth="1"/>
    <col min="3603" max="3603" width="55.44140625" style="174" customWidth="1"/>
    <col min="3604" max="3841" width="8.77734375" style="174"/>
    <col min="3842" max="3842" width="53.77734375" style="174" bestFit="1" customWidth="1"/>
    <col min="3843" max="3843" width="2.109375" style="174" customWidth="1"/>
    <col min="3844" max="3844" width="10" style="174" bestFit="1" customWidth="1"/>
    <col min="3845" max="3845" width="9.44140625" style="174" bestFit="1" customWidth="1"/>
    <col min="3846" max="3846" width="10" style="174" customWidth="1"/>
    <col min="3847" max="3847" width="11" style="174" customWidth="1"/>
    <col min="3848" max="3848" width="10" style="174" customWidth="1"/>
    <col min="3849" max="3850" width="10.33203125" style="174" customWidth="1"/>
    <col min="3851" max="3852" width="10" style="174" customWidth="1"/>
    <col min="3853" max="3856" width="9" style="174" bestFit="1" customWidth="1"/>
    <col min="3857" max="3857" width="3.44140625" style="174" customWidth="1"/>
    <col min="3858" max="3858" width="6.77734375" style="174" customWidth="1"/>
    <col min="3859" max="3859" width="55.44140625" style="174" customWidth="1"/>
    <col min="3860" max="4097" width="8.77734375" style="174"/>
    <col min="4098" max="4098" width="53.77734375" style="174" bestFit="1" customWidth="1"/>
    <col min="4099" max="4099" width="2.109375" style="174" customWidth="1"/>
    <col min="4100" max="4100" width="10" style="174" bestFit="1" customWidth="1"/>
    <col min="4101" max="4101" width="9.44140625" style="174" bestFit="1" customWidth="1"/>
    <col min="4102" max="4102" width="10" style="174" customWidth="1"/>
    <col min="4103" max="4103" width="11" style="174" customWidth="1"/>
    <col min="4104" max="4104" width="10" style="174" customWidth="1"/>
    <col min="4105" max="4106" width="10.33203125" style="174" customWidth="1"/>
    <col min="4107" max="4108" width="10" style="174" customWidth="1"/>
    <col min="4109" max="4112" width="9" style="174" bestFit="1" customWidth="1"/>
    <col min="4113" max="4113" width="3.44140625" style="174" customWidth="1"/>
    <col min="4114" max="4114" width="6.77734375" style="174" customWidth="1"/>
    <col min="4115" max="4115" width="55.44140625" style="174" customWidth="1"/>
    <col min="4116" max="4353" width="8.77734375" style="174"/>
    <col min="4354" max="4354" width="53.77734375" style="174" bestFit="1" customWidth="1"/>
    <col min="4355" max="4355" width="2.109375" style="174" customWidth="1"/>
    <col min="4356" max="4356" width="10" style="174" bestFit="1" customWidth="1"/>
    <col min="4357" max="4357" width="9.44140625" style="174" bestFit="1" customWidth="1"/>
    <col min="4358" max="4358" width="10" style="174" customWidth="1"/>
    <col min="4359" max="4359" width="11" style="174" customWidth="1"/>
    <col min="4360" max="4360" width="10" style="174" customWidth="1"/>
    <col min="4361" max="4362" width="10.33203125" style="174" customWidth="1"/>
    <col min="4363" max="4364" width="10" style="174" customWidth="1"/>
    <col min="4365" max="4368" width="9" style="174" bestFit="1" customWidth="1"/>
    <col min="4369" max="4369" width="3.44140625" style="174" customWidth="1"/>
    <col min="4370" max="4370" width="6.77734375" style="174" customWidth="1"/>
    <col min="4371" max="4371" width="55.44140625" style="174" customWidth="1"/>
    <col min="4372" max="4609" width="8.77734375" style="174"/>
    <col min="4610" max="4610" width="53.77734375" style="174" bestFit="1" customWidth="1"/>
    <col min="4611" max="4611" width="2.109375" style="174" customWidth="1"/>
    <col min="4612" max="4612" width="10" style="174" bestFit="1" customWidth="1"/>
    <col min="4613" max="4613" width="9.44140625" style="174" bestFit="1" customWidth="1"/>
    <col min="4614" max="4614" width="10" style="174" customWidth="1"/>
    <col min="4615" max="4615" width="11" style="174" customWidth="1"/>
    <col min="4616" max="4616" width="10" style="174" customWidth="1"/>
    <col min="4617" max="4618" width="10.33203125" style="174" customWidth="1"/>
    <col min="4619" max="4620" width="10" style="174" customWidth="1"/>
    <col min="4621" max="4624" width="9" style="174" bestFit="1" customWidth="1"/>
    <col min="4625" max="4625" width="3.44140625" style="174" customWidth="1"/>
    <col min="4626" max="4626" width="6.77734375" style="174" customWidth="1"/>
    <col min="4627" max="4627" width="55.44140625" style="174" customWidth="1"/>
    <col min="4628" max="4865" width="8.77734375" style="174"/>
    <col min="4866" max="4866" width="53.77734375" style="174" bestFit="1" customWidth="1"/>
    <col min="4867" max="4867" width="2.109375" style="174" customWidth="1"/>
    <col min="4868" max="4868" width="10" style="174" bestFit="1" customWidth="1"/>
    <col min="4869" max="4869" width="9.44140625" style="174" bestFit="1" customWidth="1"/>
    <col min="4870" max="4870" width="10" style="174" customWidth="1"/>
    <col min="4871" max="4871" width="11" style="174" customWidth="1"/>
    <col min="4872" max="4872" width="10" style="174" customWidth="1"/>
    <col min="4873" max="4874" width="10.33203125" style="174" customWidth="1"/>
    <col min="4875" max="4876" width="10" style="174" customWidth="1"/>
    <col min="4877" max="4880" width="9" style="174" bestFit="1" customWidth="1"/>
    <col min="4881" max="4881" width="3.44140625" style="174" customWidth="1"/>
    <col min="4882" max="4882" width="6.77734375" style="174" customWidth="1"/>
    <col min="4883" max="4883" width="55.44140625" style="174" customWidth="1"/>
    <col min="4884" max="5121" width="8.77734375" style="174"/>
    <col min="5122" max="5122" width="53.77734375" style="174" bestFit="1" customWidth="1"/>
    <col min="5123" max="5123" width="2.109375" style="174" customWidth="1"/>
    <col min="5124" max="5124" width="10" style="174" bestFit="1" customWidth="1"/>
    <col min="5125" max="5125" width="9.44140625" style="174" bestFit="1" customWidth="1"/>
    <col min="5126" max="5126" width="10" style="174" customWidth="1"/>
    <col min="5127" max="5127" width="11" style="174" customWidth="1"/>
    <col min="5128" max="5128" width="10" style="174" customWidth="1"/>
    <col min="5129" max="5130" width="10.33203125" style="174" customWidth="1"/>
    <col min="5131" max="5132" width="10" style="174" customWidth="1"/>
    <col min="5133" max="5136" width="9" style="174" bestFit="1" customWidth="1"/>
    <col min="5137" max="5137" width="3.44140625" style="174" customWidth="1"/>
    <col min="5138" max="5138" width="6.77734375" style="174" customWidth="1"/>
    <col min="5139" max="5139" width="55.44140625" style="174" customWidth="1"/>
    <col min="5140" max="5377" width="8.77734375" style="174"/>
    <col min="5378" max="5378" width="53.77734375" style="174" bestFit="1" customWidth="1"/>
    <col min="5379" max="5379" width="2.109375" style="174" customWidth="1"/>
    <col min="5380" max="5380" width="10" style="174" bestFit="1" customWidth="1"/>
    <col min="5381" max="5381" width="9.44140625" style="174" bestFit="1" customWidth="1"/>
    <col min="5382" max="5382" width="10" style="174" customWidth="1"/>
    <col min="5383" max="5383" width="11" style="174" customWidth="1"/>
    <col min="5384" max="5384" width="10" style="174" customWidth="1"/>
    <col min="5385" max="5386" width="10.33203125" style="174" customWidth="1"/>
    <col min="5387" max="5388" width="10" style="174" customWidth="1"/>
    <col min="5389" max="5392" width="9" style="174" bestFit="1" customWidth="1"/>
    <col min="5393" max="5393" width="3.44140625" style="174" customWidth="1"/>
    <col min="5394" max="5394" width="6.77734375" style="174" customWidth="1"/>
    <col min="5395" max="5395" width="55.44140625" style="174" customWidth="1"/>
    <col min="5396" max="5633" width="8.77734375" style="174"/>
    <col min="5634" max="5634" width="53.77734375" style="174" bestFit="1" customWidth="1"/>
    <col min="5635" max="5635" width="2.109375" style="174" customWidth="1"/>
    <col min="5636" max="5636" width="10" style="174" bestFit="1" customWidth="1"/>
    <col min="5637" max="5637" width="9.44140625" style="174" bestFit="1" customWidth="1"/>
    <col min="5638" max="5638" width="10" style="174" customWidth="1"/>
    <col min="5639" max="5639" width="11" style="174" customWidth="1"/>
    <col min="5640" max="5640" width="10" style="174" customWidth="1"/>
    <col min="5641" max="5642" width="10.33203125" style="174" customWidth="1"/>
    <col min="5643" max="5644" width="10" style="174" customWidth="1"/>
    <col min="5645" max="5648" width="9" style="174" bestFit="1" customWidth="1"/>
    <col min="5649" max="5649" width="3.44140625" style="174" customWidth="1"/>
    <col min="5650" max="5650" width="6.77734375" style="174" customWidth="1"/>
    <col min="5651" max="5651" width="55.44140625" style="174" customWidth="1"/>
    <col min="5652" max="5889" width="8.77734375" style="174"/>
    <col min="5890" max="5890" width="53.77734375" style="174" bestFit="1" customWidth="1"/>
    <col min="5891" max="5891" width="2.109375" style="174" customWidth="1"/>
    <col min="5892" max="5892" width="10" style="174" bestFit="1" customWidth="1"/>
    <col min="5893" max="5893" width="9.44140625" style="174" bestFit="1" customWidth="1"/>
    <col min="5894" max="5894" width="10" style="174" customWidth="1"/>
    <col min="5895" max="5895" width="11" style="174" customWidth="1"/>
    <col min="5896" max="5896" width="10" style="174" customWidth="1"/>
    <col min="5897" max="5898" width="10.33203125" style="174" customWidth="1"/>
    <col min="5899" max="5900" width="10" style="174" customWidth="1"/>
    <col min="5901" max="5904" width="9" style="174" bestFit="1" customWidth="1"/>
    <col min="5905" max="5905" width="3.44140625" style="174" customWidth="1"/>
    <col min="5906" max="5906" width="6.77734375" style="174" customWidth="1"/>
    <col min="5907" max="5907" width="55.44140625" style="174" customWidth="1"/>
    <col min="5908" max="6145" width="8.77734375" style="174"/>
    <col min="6146" max="6146" width="53.77734375" style="174" bestFit="1" customWidth="1"/>
    <col min="6147" max="6147" width="2.109375" style="174" customWidth="1"/>
    <col min="6148" max="6148" width="10" style="174" bestFit="1" customWidth="1"/>
    <col min="6149" max="6149" width="9.44140625" style="174" bestFit="1" customWidth="1"/>
    <col min="6150" max="6150" width="10" style="174" customWidth="1"/>
    <col min="6151" max="6151" width="11" style="174" customWidth="1"/>
    <col min="6152" max="6152" width="10" style="174" customWidth="1"/>
    <col min="6153" max="6154" width="10.33203125" style="174" customWidth="1"/>
    <col min="6155" max="6156" width="10" style="174" customWidth="1"/>
    <col min="6157" max="6160" width="9" style="174" bestFit="1" customWidth="1"/>
    <col min="6161" max="6161" width="3.44140625" style="174" customWidth="1"/>
    <col min="6162" max="6162" width="6.77734375" style="174" customWidth="1"/>
    <col min="6163" max="6163" width="55.44140625" style="174" customWidth="1"/>
    <col min="6164" max="6401" width="8.77734375" style="174"/>
    <col min="6402" max="6402" width="53.77734375" style="174" bestFit="1" customWidth="1"/>
    <col min="6403" max="6403" width="2.109375" style="174" customWidth="1"/>
    <col min="6404" max="6404" width="10" style="174" bestFit="1" customWidth="1"/>
    <col min="6405" max="6405" width="9.44140625" style="174" bestFit="1" customWidth="1"/>
    <col min="6406" max="6406" width="10" style="174" customWidth="1"/>
    <col min="6407" max="6407" width="11" style="174" customWidth="1"/>
    <col min="6408" max="6408" width="10" style="174" customWidth="1"/>
    <col min="6409" max="6410" width="10.33203125" style="174" customWidth="1"/>
    <col min="6411" max="6412" width="10" style="174" customWidth="1"/>
    <col min="6413" max="6416" width="9" style="174" bestFit="1" customWidth="1"/>
    <col min="6417" max="6417" width="3.44140625" style="174" customWidth="1"/>
    <col min="6418" max="6418" width="6.77734375" style="174" customWidth="1"/>
    <col min="6419" max="6419" width="55.44140625" style="174" customWidth="1"/>
    <col min="6420" max="6657" width="8.77734375" style="174"/>
    <col min="6658" max="6658" width="53.77734375" style="174" bestFit="1" customWidth="1"/>
    <col min="6659" max="6659" width="2.109375" style="174" customWidth="1"/>
    <col min="6660" max="6660" width="10" style="174" bestFit="1" customWidth="1"/>
    <col min="6661" max="6661" width="9.44140625" style="174" bestFit="1" customWidth="1"/>
    <col min="6662" max="6662" width="10" style="174" customWidth="1"/>
    <col min="6663" max="6663" width="11" style="174" customWidth="1"/>
    <col min="6664" max="6664" width="10" style="174" customWidth="1"/>
    <col min="6665" max="6666" width="10.33203125" style="174" customWidth="1"/>
    <col min="6667" max="6668" width="10" style="174" customWidth="1"/>
    <col min="6669" max="6672" width="9" style="174" bestFit="1" customWidth="1"/>
    <col min="6673" max="6673" width="3.44140625" style="174" customWidth="1"/>
    <col min="6674" max="6674" width="6.77734375" style="174" customWidth="1"/>
    <col min="6675" max="6675" width="55.44140625" style="174" customWidth="1"/>
    <col min="6676" max="6913" width="8.77734375" style="174"/>
    <col min="6914" max="6914" width="53.77734375" style="174" bestFit="1" customWidth="1"/>
    <col min="6915" max="6915" width="2.109375" style="174" customWidth="1"/>
    <col min="6916" max="6916" width="10" style="174" bestFit="1" customWidth="1"/>
    <col min="6917" max="6917" width="9.44140625" style="174" bestFit="1" customWidth="1"/>
    <col min="6918" max="6918" width="10" style="174" customWidth="1"/>
    <col min="6919" max="6919" width="11" style="174" customWidth="1"/>
    <col min="6920" max="6920" width="10" style="174" customWidth="1"/>
    <col min="6921" max="6922" width="10.33203125" style="174" customWidth="1"/>
    <col min="6923" max="6924" width="10" style="174" customWidth="1"/>
    <col min="6925" max="6928" width="9" style="174" bestFit="1" customWidth="1"/>
    <col min="6929" max="6929" width="3.44140625" style="174" customWidth="1"/>
    <col min="6930" max="6930" width="6.77734375" style="174" customWidth="1"/>
    <col min="6931" max="6931" width="55.44140625" style="174" customWidth="1"/>
    <col min="6932" max="7169" width="8.77734375" style="174"/>
    <col min="7170" max="7170" width="53.77734375" style="174" bestFit="1" customWidth="1"/>
    <col min="7171" max="7171" width="2.109375" style="174" customWidth="1"/>
    <col min="7172" max="7172" width="10" style="174" bestFit="1" customWidth="1"/>
    <col min="7173" max="7173" width="9.44140625" style="174" bestFit="1" customWidth="1"/>
    <col min="7174" max="7174" width="10" style="174" customWidth="1"/>
    <col min="7175" max="7175" width="11" style="174" customWidth="1"/>
    <col min="7176" max="7176" width="10" style="174" customWidth="1"/>
    <col min="7177" max="7178" width="10.33203125" style="174" customWidth="1"/>
    <col min="7179" max="7180" width="10" style="174" customWidth="1"/>
    <col min="7181" max="7184" width="9" style="174" bestFit="1" customWidth="1"/>
    <col min="7185" max="7185" width="3.44140625" style="174" customWidth="1"/>
    <col min="7186" max="7186" width="6.77734375" style="174" customWidth="1"/>
    <col min="7187" max="7187" width="55.44140625" style="174" customWidth="1"/>
    <col min="7188" max="7425" width="8.77734375" style="174"/>
    <col min="7426" max="7426" width="53.77734375" style="174" bestFit="1" customWidth="1"/>
    <col min="7427" max="7427" width="2.109375" style="174" customWidth="1"/>
    <col min="7428" max="7428" width="10" style="174" bestFit="1" customWidth="1"/>
    <col min="7429" max="7429" width="9.44140625" style="174" bestFit="1" customWidth="1"/>
    <col min="7430" max="7430" width="10" style="174" customWidth="1"/>
    <col min="7431" max="7431" width="11" style="174" customWidth="1"/>
    <col min="7432" max="7432" width="10" style="174" customWidth="1"/>
    <col min="7433" max="7434" width="10.33203125" style="174" customWidth="1"/>
    <col min="7435" max="7436" width="10" style="174" customWidth="1"/>
    <col min="7437" max="7440" width="9" style="174" bestFit="1" customWidth="1"/>
    <col min="7441" max="7441" width="3.44140625" style="174" customWidth="1"/>
    <col min="7442" max="7442" width="6.77734375" style="174" customWidth="1"/>
    <col min="7443" max="7443" width="55.44140625" style="174" customWidth="1"/>
    <col min="7444" max="7681" width="8.77734375" style="174"/>
    <col min="7682" max="7682" width="53.77734375" style="174" bestFit="1" customWidth="1"/>
    <col min="7683" max="7683" width="2.109375" style="174" customWidth="1"/>
    <col min="7684" max="7684" width="10" style="174" bestFit="1" customWidth="1"/>
    <col min="7685" max="7685" width="9.44140625" style="174" bestFit="1" customWidth="1"/>
    <col min="7686" max="7686" width="10" style="174" customWidth="1"/>
    <col min="7687" max="7687" width="11" style="174" customWidth="1"/>
    <col min="7688" max="7688" width="10" style="174" customWidth="1"/>
    <col min="7689" max="7690" width="10.33203125" style="174" customWidth="1"/>
    <col min="7691" max="7692" width="10" style="174" customWidth="1"/>
    <col min="7693" max="7696" width="9" style="174" bestFit="1" customWidth="1"/>
    <col min="7697" max="7697" width="3.44140625" style="174" customWidth="1"/>
    <col min="7698" max="7698" width="6.77734375" style="174" customWidth="1"/>
    <col min="7699" max="7699" width="55.44140625" style="174" customWidth="1"/>
    <col min="7700" max="7937" width="8.77734375" style="174"/>
    <col min="7938" max="7938" width="53.77734375" style="174" bestFit="1" customWidth="1"/>
    <col min="7939" max="7939" width="2.109375" style="174" customWidth="1"/>
    <col min="7940" max="7940" width="10" style="174" bestFit="1" customWidth="1"/>
    <col min="7941" max="7941" width="9.44140625" style="174" bestFit="1" customWidth="1"/>
    <col min="7942" max="7942" width="10" style="174" customWidth="1"/>
    <col min="7943" max="7943" width="11" style="174" customWidth="1"/>
    <col min="7944" max="7944" width="10" style="174" customWidth="1"/>
    <col min="7945" max="7946" width="10.33203125" style="174" customWidth="1"/>
    <col min="7947" max="7948" width="10" style="174" customWidth="1"/>
    <col min="7949" max="7952" width="9" style="174" bestFit="1" customWidth="1"/>
    <col min="7953" max="7953" width="3.44140625" style="174" customWidth="1"/>
    <col min="7954" max="7954" width="6.77734375" style="174" customWidth="1"/>
    <col min="7955" max="7955" width="55.44140625" style="174" customWidth="1"/>
    <col min="7956" max="8193" width="8.77734375" style="174"/>
    <col min="8194" max="8194" width="53.77734375" style="174" bestFit="1" customWidth="1"/>
    <col min="8195" max="8195" width="2.109375" style="174" customWidth="1"/>
    <col min="8196" max="8196" width="10" style="174" bestFit="1" customWidth="1"/>
    <col min="8197" max="8197" width="9.44140625" style="174" bestFit="1" customWidth="1"/>
    <col min="8198" max="8198" width="10" style="174" customWidth="1"/>
    <col min="8199" max="8199" width="11" style="174" customWidth="1"/>
    <col min="8200" max="8200" width="10" style="174" customWidth="1"/>
    <col min="8201" max="8202" width="10.33203125" style="174" customWidth="1"/>
    <col min="8203" max="8204" width="10" style="174" customWidth="1"/>
    <col min="8205" max="8208" width="9" style="174" bestFit="1" customWidth="1"/>
    <col min="8209" max="8209" width="3.44140625" style="174" customWidth="1"/>
    <col min="8210" max="8210" width="6.77734375" style="174" customWidth="1"/>
    <col min="8211" max="8211" width="55.44140625" style="174" customWidth="1"/>
    <col min="8212" max="8449" width="8.77734375" style="174"/>
    <col min="8450" max="8450" width="53.77734375" style="174" bestFit="1" customWidth="1"/>
    <col min="8451" max="8451" width="2.109375" style="174" customWidth="1"/>
    <col min="8452" max="8452" width="10" style="174" bestFit="1" customWidth="1"/>
    <col min="8453" max="8453" width="9.44140625" style="174" bestFit="1" customWidth="1"/>
    <col min="8454" max="8454" width="10" style="174" customWidth="1"/>
    <col min="8455" max="8455" width="11" style="174" customWidth="1"/>
    <col min="8456" max="8456" width="10" style="174" customWidth="1"/>
    <col min="8457" max="8458" width="10.33203125" style="174" customWidth="1"/>
    <col min="8459" max="8460" width="10" style="174" customWidth="1"/>
    <col min="8461" max="8464" width="9" style="174" bestFit="1" customWidth="1"/>
    <col min="8465" max="8465" width="3.44140625" style="174" customWidth="1"/>
    <col min="8466" max="8466" width="6.77734375" style="174" customWidth="1"/>
    <col min="8467" max="8467" width="55.44140625" style="174" customWidth="1"/>
    <col min="8468" max="8705" width="8.77734375" style="174"/>
    <col min="8706" max="8706" width="53.77734375" style="174" bestFit="1" customWidth="1"/>
    <col min="8707" max="8707" width="2.109375" style="174" customWidth="1"/>
    <col min="8708" max="8708" width="10" style="174" bestFit="1" customWidth="1"/>
    <col min="8709" max="8709" width="9.44140625" style="174" bestFit="1" customWidth="1"/>
    <col min="8710" max="8710" width="10" style="174" customWidth="1"/>
    <col min="8711" max="8711" width="11" style="174" customWidth="1"/>
    <col min="8712" max="8712" width="10" style="174" customWidth="1"/>
    <col min="8713" max="8714" width="10.33203125" style="174" customWidth="1"/>
    <col min="8715" max="8716" width="10" style="174" customWidth="1"/>
    <col min="8717" max="8720" width="9" style="174" bestFit="1" customWidth="1"/>
    <col min="8721" max="8721" width="3.44140625" style="174" customWidth="1"/>
    <col min="8722" max="8722" width="6.77734375" style="174" customWidth="1"/>
    <col min="8723" max="8723" width="55.44140625" style="174" customWidth="1"/>
    <col min="8724" max="8961" width="8.77734375" style="174"/>
    <col min="8962" max="8962" width="53.77734375" style="174" bestFit="1" customWidth="1"/>
    <col min="8963" max="8963" width="2.109375" style="174" customWidth="1"/>
    <col min="8964" max="8964" width="10" style="174" bestFit="1" customWidth="1"/>
    <col min="8965" max="8965" width="9.44140625" style="174" bestFit="1" customWidth="1"/>
    <col min="8966" max="8966" width="10" style="174" customWidth="1"/>
    <col min="8967" max="8967" width="11" style="174" customWidth="1"/>
    <col min="8968" max="8968" width="10" style="174" customWidth="1"/>
    <col min="8969" max="8970" width="10.33203125" style="174" customWidth="1"/>
    <col min="8971" max="8972" width="10" style="174" customWidth="1"/>
    <col min="8973" max="8976" width="9" style="174" bestFit="1" customWidth="1"/>
    <col min="8977" max="8977" width="3.44140625" style="174" customWidth="1"/>
    <col min="8978" max="8978" width="6.77734375" style="174" customWidth="1"/>
    <col min="8979" max="8979" width="55.44140625" style="174" customWidth="1"/>
    <col min="8980" max="9217" width="8.77734375" style="174"/>
    <col min="9218" max="9218" width="53.77734375" style="174" bestFit="1" customWidth="1"/>
    <col min="9219" max="9219" width="2.109375" style="174" customWidth="1"/>
    <col min="9220" max="9220" width="10" style="174" bestFit="1" customWidth="1"/>
    <col min="9221" max="9221" width="9.44140625" style="174" bestFit="1" customWidth="1"/>
    <col min="9222" max="9222" width="10" style="174" customWidth="1"/>
    <col min="9223" max="9223" width="11" style="174" customWidth="1"/>
    <col min="9224" max="9224" width="10" style="174" customWidth="1"/>
    <col min="9225" max="9226" width="10.33203125" style="174" customWidth="1"/>
    <col min="9227" max="9228" width="10" style="174" customWidth="1"/>
    <col min="9229" max="9232" width="9" style="174" bestFit="1" customWidth="1"/>
    <col min="9233" max="9233" width="3.44140625" style="174" customWidth="1"/>
    <col min="9234" max="9234" width="6.77734375" style="174" customWidth="1"/>
    <col min="9235" max="9235" width="55.44140625" style="174" customWidth="1"/>
    <col min="9236" max="9473" width="8.77734375" style="174"/>
    <col min="9474" max="9474" width="53.77734375" style="174" bestFit="1" customWidth="1"/>
    <col min="9475" max="9475" width="2.109375" style="174" customWidth="1"/>
    <col min="9476" max="9476" width="10" style="174" bestFit="1" customWidth="1"/>
    <col min="9477" max="9477" width="9.44140625" style="174" bestFit="1" customWidth="1"/>
    <col min="9478" max="9478" width="10" style="174" customWidth="1"/>
    <col min="9479" max="9479" width="11" style="174" customWidth="1"/>
    <col min="9480" max="9480" width="10" style="174" customWidth="1"/>
    <col min="9481" max="9482" width="10.33203125" style="174" customWidth="1"/>
    <col min="9483" max="9484" width="10" style="174" customWidth="1"/>
    <col min="9485" max="9488" width="9" style="174" bestFit="1" customWidth="1"/>
    <col min="9489" max="9489" width="3.44140625" style="174" customWidth="1"/>
    <col min="9490" max="9490" width="6.77734375" style="174" customWidth="1"/>
    <col min="9491" max="9491" width="55.44140625" style="174" customWidth="1"/>
    <col min="9492" max="9729" width="8.77734375" style="174"/>
    <col min="9730" max="9730" width="53.77734375" style="174" bestFit="1" customWidth="1"/>
    <col min="9731" max="9731" width="2.109375" style="174" customWidth="1"/>
    <col min="9732" max="9732" width="10" style="174" bestFit="1" customWidth="1"/>
    <col min="9733" max="9733" width="9.44140625" style="174" bestFit="1" customWidth="1"/>
    <col min="9734" max="9734" width="10" style="174" customWidth="1"/>
    <col min="9735" max="9735" width="11" style="174" customWidth="1"/>
    <col min="9736" max="9736" width="10" style="174" customWidth="1"/>
    <col min="9737" max="9738" width="10.33203125" style="174" customWidth="1"/>
    <col min="9739" max="9740" width="10" style="174" customWidth="1"/>
    <col min="9741" max="9744" width="9" style="174" bestFit="1" customWidth="1"/>
    <col min="9745" max="9745" width="3.44140625" style="174" customWidth="1"/>
    <col min="9746" max="9746" width="6.77734375" style="174" customWidth="1"/>
    <col min="9747" max="9747" width="55.44140625" style="174" customWidth="1"/>
    <col min="9748" max="9985" width="8.77734375" style="174"/>
    <col min="9986" max="9986" width="53.77734375" style="174" bestFit="1" customWidth="1"/>
    <col min="9987" max="9987" width="2.109375" style="174" customWidth="1"/>
    <col min="9988" max="9988" width="10" style="174" bestFit="1" customWidth="1"/>
    <col min="9989" max="9989" width="9.44140625" style="174" bestFit="1" customWidth="1"/>
    <col min="9990" max="9990" width="10" style="174" customWidth="1"/>
    <col min="9991" max="9991" width="11" style="174" customWidth="1"/>
    <col min="9992" max="9992" width="10" style="174" customWidth="1"/>
    <col min="9993" max="9994" width="10.33203125" style="174" customWidth="1"/>
    <col min="9995" max="9996" width="10" style="174" customWidth="1"/>
    <col min="9997" max="10000" width="9" style="174" bestFit="1" customWidth="1"/>
    <col min="10001" max="10001" width="3.44140625" style="174" customWidth="1"/>
    <col min="10002" max="10002" width="6.77734375" style="174" customWidth="1"/>
    <col min="10003" max="10003" width="55.44140625" style="174" customWidth="1"/>
    <col min="10004" max="10241" width="8.77734375" style="174"/>
    <col min="10242" max="10242" width="53.77734375" style="174" bestFit="1" customWidth="1"/>
    <col min="10243" max="10243" width="2.109375" style="174" customWidth="1"/>
    <col min="10244" max="10244" width="10" style="174" bestFit="1" customWidth="1"/>
    <col min="10245" max="10245" width="9.44140625" style="174" bestFit="1" customWidth="1"/>
    <col min="10246" max="10246" width="10" style="174" customWidth="1"/>
    <col min="10247" max="10247" width="11" style="174" customWidth="1"/>
    <col min="10248" max="10248" width="10" style="174" customWidth="1"/>
    <col min="10249" max="10250" width="10.33203125" style="174" customWidth="1"/>
    <col min="10251" max="10252" width="10" style="174" customWidth="1"/>
    <col min="10253" max="10256" width="9" style="174" bestFit="1" customWidth="1"/>
    <col min="10257" max="10257" width="3.44140625" style="174" customWidth="1"/>
    <col min="10258" max="10258" width="6.77734375" style="174" customWidth="1"/>
    <col min="10259" max="10259" width="55.44140625" style="174" customWidth="1"/>
    <col min="10260" max="10497" width="8.77734375" style="174"/>
    <col min="10498" max="10498" width="53.77734375" style="174" bestFit="1" customWidth="1"/>
    <col min="10499" max="10499" width="2.109375" style="174" customWidth="1"/>
    <col min="10500" max="10500" width="10" style="174" bestFit="1" customWidth="1"/>
    <col min="10501" max="10501" width="9.44140625" style="174" bestFit="1" customWidth="1"/>
    <col min="10502" max="10502" width="10" style="174" customWidth="1"/>
    <col min="10503" max="10503" width="11" style="174" customWidth="1"/>
    <col min="10504" max="10504" width="10" style="174" customWidth="1"/>
    <col min="10505" max="10506" width="10.33203125" style="174" customWidth="1"/>
    <col min="10507" max="10508" width="10" style="174" customWidth="1"/>
    <col min="10509" max="10512" width="9" style="174" bestFit="1" customWidth="1"/>
    <col min="10513" max="10513" width="3.44140625" style="174" customWidth="1"/>
    <col min="10514" max="10514" width="6.77734375" style="174" customWidth="1"/>
    <col min="10515" max="10515" width="55.44140625" style="174" customWidth="1"/>
    <col min="10516" max="10753" width="8.77734375" style="174"/>
    <col min="10754" max="10754" width="53.77734375" style="174" bestFit="1" customWidth="1"/>
    <col min="10755" max="10755" width="2.109375" style="174" customWidth="1"/>
    <col min="10756" max="10756" width="10" style="174" bestFit="1" customWidth="1"/>
    <col min="10757" max="10757" width="9.44140625" style="174" bestFit="1" customWidth="1"/>
    <col min="10758" max="10758" width="10" style="174" customWidth="1"/>
    <col min="10759" max="10759" width="11" style="174" customWidth="1"/>
    <col min="10760" max="10760" width="10" style="174" customWidth="1"/>
    <col min="10761" max="10762" width="10.33203125" style="174" customWidth="1"/>
    <col min="10763" max="10764" width="10" style="174" customWidth="1"/>
    <col min="10765" max="10768" width="9" style="174" bestFit="1" customWidth="1"/>
    <col min="10769" max="10769" width="3.44140625" style="174" customWidth="1"/>
    <col min="10770" max="10770" width="6.77734375" style="174" customWidth="1"/>
    <col min="10771" max="10771" width="55.44140625" style="174" customWidth="1"/>
    <col min="10772" max="11009" width="8.77734375" style="174"/>
    <col min="11010" max="11010" width="53.77734375" style="174" bestFit="1" customWidth="1"/>
    <col min="11011" max="11011" width="2.109375" style="174" customWidth="1"/>
    <col min="11012" max="11012" width="10" style="174" bestFit="1" customWidth="1"/>
    <col min="11013" max="11013" width="9.44140625" style="174" bestFit="1" customWidth="1"/>
    <col min="11014" max="11014" width="10" style="174" customWidth="1"/>
    <col min="11015" max="11015" width="11" style="174" customWidth="1"/>
    <col min="11016" max="11016" width="10" style="174" customWidth="1"/>
    <col min="11017" max="11018" width="10.33203125" style="174" customWidth="1"/>
    <col min="11019" max="11020" width="10" style="174" customWidth="1"/>
    <col min="11021" max="11024" width="9" style="174" bestFit="1" customWidth="1"/>
    <col min="11025" max="11025" width="3.44140625" style="174" customWidth="1"/>
    <col min="11026" max="11026" width="6.77734375" style="174" customWidth="1"/>
    <col min="11027" max="11027" width="55.44140625" style="174" customWidth="1"/>
    <col min="11028" max="11265" width="8.77734375" style="174"/>
    <col min="11266" max="11266" width="53.77734375" style="174" bestFit="1" customWidth="1"/>
    <col min="11267" max="11267" width="2.109375" style="174" customWidth="1"/>
    <col min="11268" max="11268" width="10" style="174" bestFit="1" customWidth="1"/>
    <col min="11269" max="11269" width="9.44140625" style="174" bestFit="1" customWidth="1"/>
    <col min="11270" max="11270" width="10" style="174" customWidth="1"/>
    <col min="11271" max="11271" width="11" style="174" customWidth="1"/>
    <col min="11272" max="11272" width="10" style="174" customWidth="1"/>
    <col min="11273" max="11274" width="10.33203125" style="174" customWidth="1"/>
    <col min="11275" max="11276" width="10" style="174" customWidth="1"/>
    <col min="11277" max="11280" width="9" style="174" bestFit="1" customWidth="1"/>
    <col min="11281" max="11281" width="3.44140625" style="174" customWidth="1"/>
    <col min="11282" max="11282" width="6.77734375" style="174" customWidth="1"/>
    <col min="11283" max="11283" width="55.44140625" style="174" customWidth="1"/>
    <col min="11284" max="11521" width="8.77734375" style="174"/>
    <col min="11522" max="11522" width="53.77734375" style="174" bestFit="1" customWidth="1"/>
    <col min="11523" max="11523" width="2.109375" style="174" customWidth="1"/>
    <col min="11524" max="11524" width="10" style="174" bestFit="1" customWidth="1"/>
    <col min="11525" max="11525" width="9.44140625" style="174" bestFit="1" customWidth="1"/>
    <col min="11526" max="11526" width="10" style="174" customWidth="1"/>
    <col min="11527" max="11527" width="11" style="174" customWidth="1"/>
    <col min="11528" max="11528" width="10" style="174" customWidth="1"/>
    <col min="11529" max="11530" width="10.33203125" style="174" customWidth="1"/>
    <col min="11531" max="11532" width="10" style="174" customWidth="1"/>
    <col min="11533" max="11536" width="9" style="174" bestFit="1" customWidth="1"/>
    <col min="11537" max="11537" width="3.44140625" style="174" customWidth="1"/>
    <col min="11538" max="11538" width="6.77734375" style="174" customWidth="1"/>
    <col min="11539" max="11539" width="55.44140625" style="174" customWidth="1"/>
    <col min="11540" max="11777" width="8.77734375" style="174"/>
    <col min="11778" max="11778" width="53.77734375" style="174" bestFit="1" customWidth="1"/>
    <col min="11779" max="11779" width="2.109375" style="174" customWidth="1"/>
    <col min="11780" max="11780" width="10" style="174" bestFit="1" customWidth="1"/>
    <col min="11781" max="11781" width="9.44140625" style="174" bestFit="1" customWidth="1"/>
    <col min="11782" max="11782" width="10" style="174" customWidth="1"/>
    <col min="11783" max="11783" width="11" style="174" customWidth="1"/>
    <col min="11784" max="11784" width="10" style="174" customWidth="1"/>
    <col min="11785" max="11786" width="10.33203125" style="174" customWidth="1"/>
    <col min="11787" max="11788" width="10" style="174" customWidth="1"/>
    <col min="11789" max="11792" width="9" style="174" bestFit="1" customWidth="1"/>
    <col min="11793" max="11793" width="3.44140625" style="174" customWidth="1"/>
    <col min="11794" max="11794" width="6.77734375" style="174" customWidth="1"/>
    <col min="11795" max="11795" width="55.44140625" style="174" customWidth="1"/>
    <col min="11796" max="12033" width="8.77734375" style="174"/>
    <col min="12034" max="12034" width="53.77734375" style="174" bestFit="1" customWidth="1"/>
    <col min="12035" max="12035" width="2.109375" style="174" customWidth="1"/>
    <col min="12036" max="12036" width="10" style="174" bestFit="1" customWidth="1"/>
    <col min="12037" max="12037" width="9.44140625" style="174" bestFit="1" customWidth="1"/>
    <col min="12038" max="12038" width="10" style="174" customWidth="1"/>
    <col min="12039" max="12039" width="11" style="174" customWidth="1"/>
    <col min="12040" max="12040" width="10" style="174" customWidth="1"/>
    <col min="12041" max="12042" width="10.33203125" style="174" customWidth="1"/>
    <col min="12043" max="12044" width="10" style="174" customWidth="1"/>
    <col min="12045" max="12048" width="9" style="174" bestFit="1" customWidth="1"/>
    <col min="12049" max="12049" width="3.44140625" style="174" customWidth="1"/>
    <col min="12050" max="12050" width="6.77734375" style="174" customWidth="1"/>
    <col min="12051" max="12051" width="55.44140625" style="174" customWidth="1"/>
    <col min="12052" max="12289" width="8.77734375" style="174"/>
    <col min="12290" max="12290" width="53.77734375" style="174" bestFit="1" customWidth="1"/>
    <col min="12291" max="12291" width="2.109375" style="174" customWidth="1"/>
    <col min="12292" max="12292" width="10" style="174" bestFit="1" customWidth="1"/>
    <col min="12293" max="12293" width="9.44140625" style="174" bestFit="1" customWidth="1"/>
    <col min="12294" max="12294" width="10" style="174" customWidth="1"/>
    <col min="12295" max="12295" width="11" style="174" customWidth="1"/>
    <col min="12296" max="12296" width="10" style="174" customWidth="1"/>
    <col min="12297" max="12298" width="10.33203125" style="174" customWidth="1"/>
    <col min="12299" max="12300" width="10" style="174" customWidth="1"/>
    <col min="12301" max="12304" width="9" style="174" bestFit="1" customWidth="1"/>
    <col min="12305" max="12305" width="3.44140625" style="174" customWidth="1"/>
    <col min="12306" max="12306" width="6.77734375" style="174" customWidth="1"/>
    <col min="12307" max="12307" width="55.44140625" style="174" customWidth="1"/>
    <col min="12308" max="12545" width="8.77734375" style="174"/>
    <col min="12546" max="12546" width="53.77734375" style="174" bestFit="1" customWidth="1"/>
    <col min="12547" max="12547" width="2.109375" style="174" customWidth="1"/>
    <col min="12548" max="12548" width="10" style="174" bestFit="1" customWidth="1"/>
    <col min="12549" max="12549" width="9.44140625" style="174" bestFit="1" customWidth="1"/>
    <col min="12550" max="12550" width="10" style="174" customWidth="1"/>
    <col min="12551" max="12551" width="11" style="174" customWidth="1"/>
    <col min="12552" max="12552" width="10" style="174" customWidth="1"/>
    <col min="12553" max="12554" width="10.33203125" style="174" customWidth="1"/>
    <col min="12555" max="12556" width="10" style="174" customWidth="1"/>
    <col min="12557" max="12560" width="9" style="174" bestFit="1" customWidth="1"/>
    <col min="12561" max="12561" width="3.44140625" style="174" customWidth="1"/>
    <col min="12562" max="12562" width="6.77734375" style="174" customWidth="1"/>
    <col min="12563" max="12563" width="55.44140625" style="174" customWidth="1"/>
    <col min="12564" max="12801" width="8.77734375" style="174"/>
    <col min="12802" max="12802" width="53.77734375" style="174" bestFit="1" customWidth="1"/>
    <col min="12803" max="12803" width="2.109375" style="174" customWidth="1"/>
    <col min="12804" max="12804" width="10" style="174" bestFit="1" customWidth="1"/>
    <col min="12805" max="12805" width="9.44140625" style="174" bestFit="1" customWidth="1"/>
    <col min="12806" max="12806" width="10" style="174" customWidth="1"/>
    <col min="12807" max="12807" width="11" style="174" customWidth="1"/>
    <col min="12808" max="12808" width="10" style="174" customWidth="1"/>
    <col min="12809" max="12810" width="10.33203125" style="174" customWidth="1"/>
    <col min="12811" max="12812" width="10" style="174" customWidth="1"/>
    <col min="12813" max="12816" width="9" style="174" bestFit="1" customWidth="1"/>
    <col min="12817" max="12817" width="3.44140625" style="174" customWidth="1"/>
    <col min="12818" max="12818" width="6.77734375" style="174" customWidth="1"/>
    <col min="12819" max="12819" width="55.44140625" style="174" customWidth="1"/>
    <col min="12820" max="13057" width="8.77734375" style="174"/>
    <col min="13058" max="13058" width="53.77734375" style="174" bestFit="1" customWidth="1"/>
    <col min="13059" max="13059" width="2.109375" style="174" customWidth="1"/>
    <col min="13060" max="13060" width="10" style="174" bestFit="1" customWidth="1"/>
    <col min="13061" max="13061" width="9.44140625" style="174" bestFit="1" customWidth="1"/>
    <col min="13062" max="13062" width="10" style="174" customWidth="1"/>
    <col min="13063" max="13063" width="11" style="174" customWidth="1"/>
    <col min="13064" max="13064" width="10" style="174" customWidth="1"/>
    <col min="13065" max="13066" width="10.33203125" style="174" customWidth="1"/>
    <col min="13067" max="13068" width="10" style="174" customWidth="1"/>
    <col min="13069" max="13072" width="9" style="174" bestFit="1" customWidth="1"/>
    <col min="13073" max="13073" width="3.44140625" style="174" customWidth="1"/>
    <col min="13074" max="13074" width="6.77734375" style="174" customWidth="1"/>
    <col min="13075" max="13075" width="55.44140625" style="174" customWidth="1"/>
    <col min="13076" max="13313" width="8.77734375" style="174"/>
    <col min="13314" max="13314" width="53.77734375" style="174" bestFit="1" customWidth="1"/>
    <col min="13315" max="13315" width="2.109375" style="174" customWidth="1"/>
    <col min="13316" max="13316" width="10" style="174" bestFit="1" customWidth="1"/>
    <col min="13317" max="13317" width="9.44140625" style="174" bestFit="1" customWidth="1"/>
    <col min="13318" max="13318" width="10" style="174" customWidth="1"/>
    <col min="13319" max="13319" width="11" style="174" customWidth="1"/>
    <col min="13320" max="13320" width="10" style="174" customWidth="1"/>
    <col min="13321" max="13322" width="10.33203125" style="174" customWidth="1"/>
    <col min="13323" max="13324" width="10" style="174" customWidth="1"/>
    <col min="13325" max="13328" width="9" style="174" bestFit="1" customWidth="1"/>
    <col min="13329" max="13329" width="3.44140625" style="174" customWidth="1"/>
    <col min="13330" max="13330" width="6.77734375" style="174" customWidth="1"/>
    <col min="13331" max="13331" width="55.44140625" style="174" customWidth="1"/>
    <col min="13332" max="13569" width="8.77734375" style="174"/>
    <col min="13570" max="13570" width="53.77734375" style="174" bestFit="1" customWidth="1"/>
    <col min="13571" max="13571" width="2.109375" style="174" customWidth="1"/>
    <col min="13572" max="13572" width="10" style="174" bestFit="1" customWidth="1"/>
    <col min="13573" max="13573" width="9.44140625" style="174" bestFit="1" customWidth="1"/>
    <col min="13574" max="13574" width="10" style="174" customWidth="1"/>
    <col min="13575" max="13575" width="11" style="174" customWidth="1"/>
    <col min="13576" max="13576" width="10" style="174" customWidth="1"/>
    <col min="13577" max="13578" width="10.33203125" style="174" customWidth="1"/>
    <col min="13579" max="13580" width="10" style="174" customWidth="1"/>
    <col min="13581" max="13584" width="9" style="174" bestFit="1" customWidth="1"/>
    <col min="13585" max="13585" width="3.44140625" style="174" customWidth="1"/>
    <col min="13586" max="13586" width="6.77734375" style="174" customWidth="1"/>
    <col min="13587" max="13587" width="55.44140625" style="174" customWidth="1"/>
    <col min="13588" max="13825" width="8.77734375" style="174"/>
    <col min="13826" max="13826" width="53.77734375" style="174" bestFit="1" customWidth="1"/>
    <col min="13827" max="13827" width="2.109375" style="174" customWidth="1"/>
    <col min="13828" max="13828" width="10" style="174" bestFit="1" customWidth="1"/>
    <col min="13829" max="13829" width="9.44140625" style="174" bestFit="1" customWidth="1"/>
    <col min="13830" max="13830" width="10" style="174" customWidth="1"/>
    <col min="13831" max="13831" width="11" style="174" customWidth="1"/>
    <col min="13832" max="13832" width="10" style="174" customWidth="1"/>
    <col min="13833" max="13834" width="10.33203125" style="174" customWidth="1"/>
    <col min="13835" max="13836" width="10" style="174" customWidth="1"/>
    <col min="13837" max="13840" width="9" style="174" bestFit="1" customWidth="1"/>
    <col min="13841" max="13841" width="3.44140625" style="174" customWidth="1"/>
    <col min="13842" max="13842" width="6.77734375" style="174" customWidth="1"/>
    <col min="13843" max="13843" width="55.44140625" style="174" customWidth="1"/>
    <col min="13844" max="14081" width="8.77734375" style="174"/>
    <col min="14082" max="14082" width="53.77734375" style="174" bestFit="1" customWidth="1"/>
    <col min="14083" max="14083" width="2.109375" style="174" customWidth="1"/>
    <col min="14084" max="14084" width="10" style="174" bestFit="1" customWidth="1"/>
    <col min="14085" max="14085" width="9.44140625" style="174" bestFit="1" customWidth="1"/>
    <col min="14086" max="14086" width="10" style="174" customWidth="1"/>
    <col min="14087" max="14087" width="11" style="174" customWidth="1"/>
    <col min="14088" max="14088" width="10" style="174" customWidth="1"/>
    <col min="14089" max="14090" width="10.33203125" style="174" customWidth="1"/>
    <col min="14091" max="14092" width="10" style="174" customWidth="1"/>
    <col min="14093" max="14096" width="9" style="174" bestFit="1" customWidth="1"/>
    <col min="14097" max="14097" width="3.44140625" style="174" customWidth="1"/>
    <col min="14098" max="14098" width="6.77734375" style="174" customWidth="1"/>
    <col min="14099" max="14099" width="55.44140625" style="174" customWidth="1"/>
    <col min="14100" max="14337" width="8.77734375" style="174"/>
    <col min="14338" max="14338" width="53.77734375" style="174" bestFit="1" customWidth="1"/>
    <col min="14339" max="14339" width="2.109375" style="174" customWidth="1"/>
    <col min="14340" max="14340" width="10" style="174" bestFit="1" customWidth="1"/>
    <col min="14341" max="14341" width="9.44140625" style="174" bestFit="1" customWidth="1"/>
    <col min="14342" max="14342" width="10" style="174" customWidth="1"/>
    <col min="14343" max="14343" width="11" style="174" customWidth="1"/>
    <col min="14344" max="14344" width="10" style="174" customWidth="1"/>
    <col min="14345" max="14346" width="10.33203125" style="174" customWidth="1"/>
    <col min="14347" max="14348" width="10" style="174" customWidth="1"/>
    <col min="14349" max="14352" width="9" style="174" bestFit="1" customWidth="1"/>
    <col min="14353" max="14353" width="3.44140625" style="174" customWidth="1"/>
    <col min="14354" max="14354" width="6.77734375" style="174" customWidth="1"/>
    <col min="14355" max="14355" width="55.44140625" style="174" customWidth="1"/>
    <col min="14356" max="14593" width="8.77734375" style="174"/>
    <col min="14594" max="14594" width="53.77734375" style="174" bestFit="1" customWidth="1"/>
    <col min="14595" max="14595" width="2.109375" style="174" customWidth="1"/>
    <col min="14596" max="14596" width="10" style="174" bestFit="1" customWidth="1"/>
    <col min="14597" max="14597" width="9.44140625" style="174" bestFit="1" customWidth="1"/>
    <col min="14598" max="14598" width="10" style="174" customWidth="1"/>
    <col min="14599" max="14599" width="11" style="174" customWidth="1"/>
    <col min="14600" max="14600" width="10" style="174" customWidth="1"/>
    <col min="14601" max="14602" width="10.33203125" style="174" customWidth="1"/>
    <col min="14603" max="14604" width="10" style="174" customWidth="1"/>
    <col min="14605" max="14608" width="9" style="174" bestFit="1" customWidth="1"/>
    <col min="14609" max="14609" width="3.44140625" style="174" customWidth="1"/>
    <col min="14610" max="14610" width="6.77734375" style="174" customWidth="1"/>
    <col min="14611" max="14611" width="55.44140625" style="174" customWidth="1"/>
    <col min="14612" max="14849" width="8.77734375" style="174"/>
    <col min="14850" max="14850" width="53.77734375" style="174" bestFit="1" customWidth="1"/>
    <col min="14851" max="14851" width="2.109375" style="174" customWidth="1"/>
    <col min="14852" max="14852" width="10" style="174" bestFit="1" customWidth="1"/>
    <col min="14853" max="14853" width="9.44140625" style="174" bestFit="1" customWidth="1"/>
    <col min="14854" max="14854" width="10" style="174" customWidth="1"/>
    <col min="14855" max="14855" width="11" style="174" customWidth="1"/>
    <col min="14856" max="14856" width="10" style="174" customWidth="1"/>
    <col min="14857" max="14858" width="10.33203125" style="174" customWidth="1"/>
    <col min="14859" max="14860" width="10" style="174" customWidth="1"/>
    <col min="14861" max="14864" width="9" style="174" bestFit="1" customWidth="1"/>
    <col min="14865" max="14865" width="3.44140625" style="174" customWidth="1"/>
    <col min="14866" max="14866" width="6.77734375" style="174" customWidth="1"/>
    <col min="14867" max="14867" width="55.44140625" style="174" customWidth="1"/>
    <col min="14868" max="15105" width="8.77734375" style="174"/>
    <col min="15106" max="15106" width="53.77734375" style="174" bestFit="1" customWidth="1"/>
    <col min="15107" max="15107" width="2.109375" style="174" customWidth="1"/>
    <col min="15108" max="15108" width="10" style="174" bestFit="1" customWidth="1"/>
    <col min="15109" max="15109" width="9.44140625" style="174" bestFit="1" customWidth="1"/>
    <col min="15110" max="15110" width="10" style="174" customWidth="1"/>
    <col min="15111" max="15111" width="11" style="174" customWidth="1"/>
    <col min="15112" max="15112" width="10" style="174" customWidth="1"/>
    <col min="15113" max="15114" width="10.33203125" style="174" customWidth="1"/>
    <col min="15115" max="15116" width="10" style="174" customWidth="1"/>
    <col min="15117" max="15120" width="9" style="174" bestFit="1" customWidth="1"/>
    <col min="15121" max="15121" width="3.44140625" style="174" customWidth="1"/>
    <col min="15122" max="15122" width="6.77734375" style="174" customWidth="1"/>
    <col min="15123" max="15123" width="55.44140625" style="174" customWidth="1"/>
    <col min="15124" max="15361" width="8.77734375" style="174"/>
    <col min="15362" max="15362" width="53.77734375" style="174" bestFit="1" customWidth="1"/>
    <col min="15363" max="15363" width="2.109375" style="174" customWidth="1"/>
    <col min="15364" max="15364" width="10" style="174" bestFit="1" customWidth="1"/>
    <col min="15365" max="15365" width="9.44140625" style="174" bestFit="1" customWidth="1"/>
    <col min="15366" max="15366" width="10" style="174" customWidth="1"/>
    <col min="15367" max="15367" width="11" style="174" customWidth="1"/>
    <col min="15368" max="15368" width="10" style="174" customWidth="1"/>
    <col min="15369" max="15370" width="10.33203125" style="174" customWidth="1"/>
    <col min="15371" max="15372" width="10" style="174" customWidth="1"/>
    <col min="15373" max="15376" width="9" style="174" bestFit="1" customWidth="1"/>
    <col min="15377" max="15377" width="3.44140625" style="174" customWidth="1"/>
    <col min="15378" max="15378" width="6.77734375" style="174" customWidth="1"/>
    <col min="15379" max="15379" width="55.44140625" style="174" customWidth="1"/>
    <col min="15380" max="15617" width="8.77734375" style="174"/>
    <col min="15618" max="15618" width="53.77734375" style="174" bestFit="1" customWidth="1"/>
    <col min="15619" max="15619" width="2.109375" style="174" customWidth="1"/>
    <col min="15620" max="15620" width="10" style="174" bestFit="1" customWidth="1"/>
    <col min="15621" max="15621" width="9.44140625" style="174" bestFit="1" customWidth="1"/>
    <col min="15622" max="15622" width="10" style="174" customWidth="1"/>
    <col min="15623" max="15623" width="11" style="174" customWidth="1"/>
    <col min="15624" max="15624" width="10" style="174" customWidth="1"/>
    <col min="15625" max="15626" width="10.33203125" style="174" customWidth="1"/>
    <col min="15627" max="15628" width="10" style="174" customWidth="1"/>
    <col min="15629" max="15632" width="9" style="174" bestFit="1" customWidth="1"/>
    <col min="15633" max="15633" width="3.44140625" style="174" customWidth="1"/>
    <col min="15634" max="15634" width="6.77734375" style="174" customWidth="1"/>
    <col min="15635" max="15635" width="55.44140625" style="174" customWidth="1"/>
    <col min="15636" max="15873" width="8.77734375" style="174"/>
    <col min="15874" max="15874" width="53.77734375" style="174" bestFit="1" customWidth="1"/>
    <col min="15875" max="15875" width="2.109375" style="174" customWidth="1"/>
    <col min="15876" max="15876" width="10" style="174" bestFit="1" customWidth="1"/>
    <col min="15877" max="15877" width="9.44140625" style="174" bestFit="1" customWidth="1"/>
    <col min="15878" max="15878" width="10" style="174" customWidth="1"/>
    <col min="15879" max="15879" width="11" style="174" customWidth="1"/>
    <col min="15880" max="15880" width="10" style="174" customWidth="1"/>
    <col min="15881" max="15882" width="10.33203125" style="174" customWidth="1"/>
    <col min="15883" max="15884" width="10" style="174" customWidth="1"/>
    <col min="15885" max="15888" width="9" style="174" bestFit="1" customWidth="1"/>
    <col min="15889" max="15889" width="3.44140625" style="174" customWidth="1"/>
    <col min="15890" max="15890" width="6.77734375" style="174" customWidth="1"/>
    <col min="15891" max="15891" width="55.44140625" style="174" customWidth="1"/>
    <col min="15892" max="16129" width="8.77734375" style="174"/>
    <col min="16130" max="16130" width="53.77734375" style="174" bestFit="1" customWidth="1"/>
    <col min="16131" max="16131" width="2.109375" style="174" customWidth="1"/>
    <col min="16132" max="16132" width="10" style="174" bestFit="1" customWidth="1"/>
    <col min="16133" max="16133" width="9.44140625" style="174" bestFit="1" customWidth="1"/>
    <col min="16134" max="16134" width="10" style="174" customWidth="1"/>
    <col min="16135" max="16135" width="11" style="174" customWidth="1"/>
    <col min="16136" max="16136" width="10" style="174" customWidth="1"/>
    <col min="16137" max="16138" width="10.33203125" style="174" customWidth="1"/>
    <col min="16139" max="16140" width="10" style="174" customWidth="1"/>
    <col min="16141" max="16144" width="9" style="174" bestFit="1" customWidth="1"/>
    <col min="16145" max="16145" width="3.44140625" style="174" customWidth="1"/>
    <col min="16146" max="16146" width="6.77734375" style="174" customWidth="1"/>
    <col min="16147" max="16147" width="55.44140625" style="174" customWidth="1"/>
    <col min="16148" max="16384" width="8.77734375" style="174"/>
  </cols>
  <sheetData>
    <row r="1" spans="1:19" ht="16.95" customHeight="1" thickBot="1" x14ac:dyDescent="0.3">
      <c r="B1" s="251" t="s">
        <v>730</v>
      </c>
      <c r="I1" s="2"/>
      <c r="J1" s="207" t="s">
        <v>394</v>
      </c>
      <c r="K1" s="207" t="s">
        <v>393</v>
      </c>
      <c r="L1" s="207" t="s">
        <v>395</v>
      </c>
    </row>
    <row r="2" spans="1:19" ht="16.95" customHeight="1" thickBot="1" x14ac:dyDescent="0.3">
      <c r="A2" s="416" t="s">
        <v>0</v>
      </c>
      <c r="B2" s="252" t="s">
        <v>348</v>
      </c>
      <c r="E2" s="176"/>
      <c r="F2" s="177"/>
      <c r="G2" s="176"/>
      <c r="H2" s="176"/>
      <c r="I2" s="6" t="s">
        <v>341</v>
      </c>
      <c r="J2" s="222">
        <v>6500</v>
      </c>
      <c r="K2" s="55">
        <v>1</v>
      </c>
      <c r="L2" s="205">
        <v>0</v>
      </c>
      <c r="M2" s="176"/>
      <c r="N2" s="176"/>
      <c r="O2" s="176"/>
      <c r="P2" s="180"/>
      <c r="S2" s="178" t="s">
        <v>254</v>
      </c>
    </row>
    <row r="3" spans="1:19" ht="16.95" customHeight="1" x14ac:dyDescent="0.25">
      <c r="A3" s="179"/>
      <c r="B3" s="372" t="s">
        <v>222</v>
      </c>
      <c r="C3" s="180"/>
      <c r="D3" s="180"/>
      <c r="E3" s="181"/>
      <c r="F3" s="181"/>
      <c r="G3" s="181"/>
      <c r="H3" s="180"/>
      <c r="I3" s="6" t="s">
        <v>343</v>
      </c>
      <c r="J3" s="222">
        <v>419</v>
      </c>
      <c r="K3" s="55">
        <v>0.5</v>
      </c>
      <c r="L3" s="206"/>
      <c r="M3" s="180"/>
      <c r="N3" s="180"/>
      <c r="O3" s="180"/>
      <c r="P3" s="180"/>
      <c r="S3" s="182" t="s">
        <v>253</v>
      </c>
    </row>
    <row r="4" spans="1:19" ht="16.95" customHeight="1" x14ac:dyDescent="0.25">
      <c r="A4" s="488" t="s">
        <v>223</v>
      </c>
      <c r="B4" s="488"/>
      <c r="C4" s="488"/>
      <c r="D4" s="488"/>
      <c r="E4" s="488"/>
      <c r="F4" s="488"/>
      <c r="G4" s="488"/>
      <c r="H4" s="488"/>
      <c r="I4" s="488"/>
      <c r="J4" s="488"/>
      <c r="K4" s="488"/>
      <c r="L4" s="488"/>
      <c r="M4" s="488"/>
      <c r="N4" s="488"/>
      <c r="O4" s="488"/>
      <c r="P4" s="488"/>
      <c r="S4" s="183" t="s">
        <v>255</v>
      </c>
    </row>
    <row r="5" spans="1:19" s="212" customFormat="1" ht="16.95" customHeight="1" x14ac:dyDescent="0.25">
      <c r="A5" s="209"/>
      <c r="B5" s="210"/>
      <c r="C5" s="211"/>
      <c r="D5" s="211"/>
      <c r="E5" s="211">
        <v>0.6</v>
      </c>
      <c r="F5" s="211"/>
      <c r="G5" s="211"/>
      <c r="H5" s="211"/>
      <c r="I5" s="211">
        <v>0.3</v>
      </c>
      <c r="J5" s="211"/>
      <c r="K5" s="211"/>
      <c r="L5" s="211"/>
      <c r="M5" s="211"/>
      <c r="N5" s="211"/>
      <c r="O5" s="211"/>
      <c r="P5" s="211">
        <v>0.1</v>
      </c>
      <c r="R5" s="213"/>
      <c r="S5" s="214"/>
    </row>
    <row r="6" spans="1:19" ht="16.95" customHeight="1" thickBot="1" x14ac:dyDescent="0.3">
      <c r="A6" s="184"/>
      <c r="B6" s="185"/>
      <c r="C6" s="185"/>
      <c r="D6" s="186" t="s">
        <v>224</v>
      </c>
      <c r="E6" s="186"/>
      <c r="F6" s="186"/>
      <c r="G6" s="186"/>
      <c r="H6" s="186"/>
      <c r="I6" s="186"/>
      <c r="J6" s="186"/>
      <c r="K6" s="186"/>
      <c r="L6" s="186"/>
      <c r="M6" s="186"/>
      <c r="N6" s="186"/>
      <c r="O6" s="186"/>
      <c r="P6" s="187"/>
      <c r="R6" s="188" t="s">
        <v>3</v>
      </c>
      <c r="S6" s="158" t="s">
        <v>4</v>
      </c>
    </row>
    <row r="7" spans="1:19" ht="16.95" customHeight="1" thickBot="1" x14ac:dyDescent="0.3">
      <c r="A7" s="189" t="s">
        <v>3</v>
      </c>
      <c r="B7" s="190" t="s">
        <v>225</v>
      </c>
      <c r="D7" s="191" t="s">
        <v>226</v>
      </c>
      <c r="E7" s="191" t="s">
        <v>227</v>
      </c>
      <c r="F7" s="191" t="s">
        <v>228</v>
      </c>
      <c r="G7" s="191" t="s">
        <v>229</v>
      </c>
      <c r="H7" s="191" t="s">
        <v>230</v>
      </c>
      <c r="I7" s="191" t="s">
        <v>231</v>
      </c>
      <c r="J7" s="191" t="s">
        <v>232</v>
      </c>
      <c r="K7" s="191" t="s">
        <v>233</v>
      </c>
      <c r="L7" s="191" t="s">
        <v>234</v>
      </c>
      <c r="M7" s="191" t="s">
        <v>235</v>
      </c>
      <c r="N7" s="191" t="s">
        <v>236</v>
      </c>
      <c r="O7" s="191" t="s">
        <v>237</v>
      </c>
      <c r="P7" s="191" t="s">
        <v>238</v>
      </c>
    </row>
    <row r="9" spans="1:19" ht="16.95" customHeight="1" x14ac:dyDescent="0.25">
      <c r="A9" s="201"/>
      <c r="B9" s="192" t="s">
        <v>239</v>
      </c>
      <c r="D9" s="193"/>
      <c r="E9" s="193"/>
      <c r="F9" s="193"/>
      <c r="G9" s="193"/>
      <c r="H9" s="193"/>
      <c r="I9" s="193"/>
      <c r="J9" s="193"/>
      <c r="K9" s="193"/>
      <c r="L9" s="193"/>
      <c r="M9" s="193"/>
      <c r="N9" s="193"/>
      <c r="O9" s="193"/>
      <c r="P9" s="193"/>
    </row>
    <row r="10" spans="1:19" ht="16.95" customHeight="1" x14ac:dyDescent="0.25">
      <c r="A10" s="201"/>
      <c r="B10" s="198" t="s">
        <v>381</v>
      </c>
      <c r="D10" s="193"/>
      <c r="E10" s="193"/>
      <c r="F10" s="193"/>
      <c r="G10" s="193"/>
      <c r="H10" s="193"/>
      <c r="I10" s="193"/>
      <c r="J10" s="193"/>
      <c r="K10" s="193"/>
      <c r="L10" s="193"/>
      <c r="M10" s="193"/>
      <c r="N10" s="193"/>
      <c r="O10" s="193"/>
      <c r="P10" s="193"/>
    </row>
    <row r="11" spans="1:19" ht="16.95" customHeight="1" x14ac:dyDescent="0.25">
      <c r="A11" s="201">
        <f t="shared" ref="A11:A42" si="0">R11</f>
        <v>1</v>
      </c>
      <c r="B11" s="195" t="s">
        <v>382</v>
      </c>
      <c r="D11" s="168">
        <f t="shared" ref="D11:D24" si="1">SUM(E11:P11)</f>
        <v>0</v>
      </c>
      <c r="E11" s="169">
        <v>0</v>
      </c>
      <c r="F11" s="169">
        <v>0</v>
      </c>
      <c r="G11" s="169">
        <v>0</v>
      </c>
      <c r="H11" s="169">
        <v>0</v>
      </c>
      <c r="I11" s="169">
        <v>0</v>
      </c>
      <c r="J11" s="169">
        <v>0</v>
      </c>
      <c r="K11" s="169">
        <v>0</v>
      </c>
      <c r="L11" s="169">
        <v>0</v>
      </c>
      <c r="M11" s="169">
        <v>0</v>
      </c>
      <c r="N11" s="169">
        <v>0</v>
      </c>
      <c r="O11" s="169">
        <v>0</v>
      </c>
      <c r="P11" s="169">
        <v>0</v>
      </c>
      <c r="R11" s="173">
        <v>1</v>
      </c>
      <c r="S11" s="196" t="s">
        <v>648</v>
      </c>
    </row>
    <row r="12" spans="1:19" ht="16.95" customHeight="1" x14ac:dyDescent="0.25">
      <c r="A12" s="201">
        <f t="shared" si="0"/>
        <v>2</v>
      </c>
      <c r="B12" s="195" t="s">
        <v>383</v>
      </c>
      <c r="D12" s="168">
        <f t="shared" si="1"/>
        <v>0</v>
      </c>
      <c r="E12" s="169">
        <v>0</v>
      </c>
      <c r="F12" s="169">
        <v>0</v>
      </c>
      <c r="G12" s="169">
        <v>0</v>
      </c>
      <c r="H12" s="169">
        <v>0</v>
      </c>
      <c r="I12" s="169">
        <v>0</v>
      </c>
      <c r="J12" s="169">
        <v>0</v>
      </c>
      <c r="K12" s="169">
        <v>0</v>
      </c>
      <c r="L12" s="169">
        <v>0</v>
      </c>
      <c r="M12" s="169">
        <v>0</v>
      </c>
      <c r="N12" s="169">
        <v>0</v>
      </c>
      <c r="O12" s="169">
        <v>0</v>
      </c>
      <c r="P12" s="169">
        <v>0</v>
      </c>
      <c r="R12" s="173">
        <v>2</v>
      </c>
      <c r="S12" s="196"/>
    </row>
    <row r="13" spans="1:19" ht="16.95" customHeight="1" x14ac:dyDescent="0.25">
      <c r="A13" s="201">
        <f t="shared" si="0"/>
        <v>3</v>
      </c>
      <c r="B13" s="197" t="s">
        <v>380</v>
      </c>
      <c r="D13" s="170"/>
      <c r="E13" s="170"/>
      <c r="F13" s="170"/>
      <c r="G13" s="170"/>
      <c r="H13" s="170"/>
      <c r="I13" s="170"/>
      <c r="J13" s="170"/>
      <c r="K13" s="170"/>
      <c r="L13" s="170"/>
      <c r="M13" s="170"/>
      <c r="N13" s="170"/>
      <c r="O13" s="170"/>
      <c r="P13" s="170"/>
      <c r="R13" s="173">
        <v>3</v>
      </c>
    </row>
    <row r="14" spans="1:19" ht="16.95" customHeight="1" x14ac:dyDescent="0.25">
      <c r="A14" s="201">
        <f t="shared" si="0"/>
        <v>4</v>
      </c>
      <c r="B14" s="195" t="s">
        <v>384</v>
      </c>
      <c r="D14" s="171">
        <f t="shared" si="1"/>
        <v>100000</v>
      </c>
      <c r="E14" s="169">
        <v>50000</v>
      </c>
      <c r="F14" s="169">
        <v>0</v>
      </c>
      <c r="G14" s="169">
        <v>0</v>
      </c>
      <c r="H14" s="169">
        <v>0</v>
      </c>
      <c r="I14" s="169">
        <v>0</v>
      </c>
      <c r="J14" s="169">
        <v>50000</v>
      </c>
      <c r="K14" s="169">
        <v>0</v>
      </c>
      <c r="L14" s="169">
        <v>0</v>
      </c>
      <c r="M14" s="169">
        <v>0</v>
      </c>
      <c r="N14" s="169">
        <v>0</v>
      </c>
      <c r="O14" s="169">
        <v>0</v>
      </c>
      <c r="P14" s="169">
        <v>0</v>
      </c>
      <c r="R14" s="173">
        <v>4</v>
      </c>
      <c r="S14" s="196" t="s">
        <v>727</v>
      </c>
    </row>
    <row r="15" spans="1:19" ht="16.95" customHeight="1" x14ac:dyDescent="0.25">
      <c r="A15" s="201">
        <f t="shared" si="0"/>
        <v>5</v>
      </c>
      <c r="B15" s="195" t="s">
        <v>385</v>
      </c>
      <c r="D15" s="171">
        <f t="shared" si="1"/>
        <v>0</v>
      </c>
      <c r="E15" s="169">
        <v>0</v>
      </c>
      <c r="F15" s="169">
        <v>0</v>
      </c>
      <c r="G15" s="169">
        <v>0</v>
      </c>
      <c r="H15" s="169">
        <v>0</v>
      </c>
      <c r="I15" s="169">
        <v>0</v>
      </c>
      <c r="J15" s="169">
        <v>0</v>
      </c>
      <c r="K15" s="169">
        <v>0</v>
      </c>
      <c r="L15" s="169">
        <v>0</v>
      </c>
      <c r="M15" s="169">
        <v>0</v>
      </c>
      <c r="N15" s="169">
        <v>0</v>
      </c>
      <c r="O15" s="169">
        <v>0</v>
      </c>
      <c r="P15" s="169">
        <v>0</v>
      </c>
      <c r="R15" s="173">
        <v>5</v>
      </c>
      <c r="S15" s="196"/>
    </row>
    <row r="16" spans="1:19" ht="16.95" customHeight="1" x14ac:dyDescent="0.25">
      <c r="A16" s="201">
        <f t="shared" si="0"/>
        <v>6</v>
      </c>
      <c r="B16" s="195" t="s">
        <v>386</v>
      </c>
      <c r="D16" s="171">
        <f t="shared" si="1"/>
        <v>300000</v>
      </c>
      <c r="E16" s="169">
        <v>100000</v>
      </c>
      <c r="F16" s="169">
        <v>0</v>
      </c>
      <c r="G16" s="169">
        <v>0</v>
      </c>
      <c r="H16" s="169">
        <v>0</v>
      </c>
      <c r="I16" s="169">
        <v>100000</v>
      </c>
      <c r="J16" s="169">
        <v>0</v>
      </c>
      <c r="K16" s="169">
        <v>0</v>
      </c>
      <c r="L16" s="169">
        <v>0</v>
      </c>
      <c r="M16" s="169">
        <v>0</v>
      </c>
      <c r="N16" s="169">
        <v>100000</v>
      </c>
      <c r="O16" s="169">
        <v>0</v>
      </c>
      <c r="P16" s="169">
        <v>0</v>
      </c>
      <c r="R16" s="173">
        <v>6</v>
      </c>
      <c r="S16" s="196" t="s">
        <v>728</v>
      </c>
    </row>
    <row r="17" spans="1:19" ht="16.95" customHeight="1" x14ac:dyDescent="0.25">
      <c r="A17" s="201">
        <f t="shared" si="0"/>
        <v>7</v>
      </c>
      <c r="B17" s="198" t="s">
        <v>377</v>
      </c>
      <c r="D17" s="170"/>
      <c r="E17" s="170"/>
      <c r="F17" s="170"/>
      <c r="G17" s="170"/>
      <c r="H17" s="170"/>
      <c r="I17" s="170"/>
      <c r="J17" s="170"/>
      <c r="K17" s="170"/>
      <c r="L17" s="170"/>
      <c r="M17" s="170"/>
      <c r="N17" s="170"/>
      <c r="O17" s="170"/>
      <c r="P17" s="170"/>
      <c r="R17" s="173">
        <v>7</v>
      </c>
      <c r="S17" s="196" t="s">
        <v>649</v>
      </c>
    </row>
    <row r="18" spans="1:19" ht="16.95" customHeight="1" x14ac:dyDescent="0.25">
      <c r="A18" s="216">
        <f t="shared" si="0"/>
        <v>7.1</v>
      </c>
      <c r="B18" s="202" t="s">
        <v>372</v>
      </c>
      <c r="D18" s="171">
        <f t="shared" si="1"/>
        <v>-132699.99999999997</v>
      </c>
      <c r="E18" s="169">
        <f>-'A2. Bgt_FuncExp'!$E$8/12</f>
        <v>-11058.333333333334</v>
      </c>
      <c r="F18" s="169">
        <f>-'A2. Bgt_FuncExp'!$E$8/12</f>
        <v>-11058.333333333334</v>
      </c>
      <c r="G18" s="169">
        <f>-'A2. Bgt_FuncExp'!$E$8/12</f>
        <v>-11058.333333333334</v>
      </c>
      <c r="H18" s="169">
        <f>-'A2. Bgt_FuncExp'!$E$8/12</f>
        <v>-11058.333333333334</v>
      </c>
      <c r="I18" s="169">
        <f>-'A2. Bgt_FuncExp'!$E$8/12</f>
        <v>-11058.333333333334</v>
      </c>
      <c r="J18" s="169">
        <f>-'A2. Bgt_FuncExp'!$E$8/12</f>
        <v>-11058.333333333334</v>
      </c>
      <c r="K18" s="169">
        <f>-'A2. Bgt_FuncExp'!$E$8/12</f>
        <v>-11058.333333333334</v>
      </c>
      <c r="L18" s="169">
        <f>-'A2. Bgt_FuncExp'!$E$8/12</f>
        <v>-11058.333333333334</v>
      </c>
      <c r="M18" s="169">
        <f>-'A2. Bgt_FuncExp'!$E$8/12</f>
        <v>-11058.333333333334</v>
      </c>
      <c r="N18" s="169">
        <f>-'A2. Bgt_FuncExp'!$E$8/12</f>
        <v>-11058.333333333334</v>
      </c>
      <c r="O18" s="169">
        <f>-'A2. Bgt_FuncExp'!$E$8/12</f>
        <v>-11058.333333333334</v>
      </c>
      <c r="P18" s="169">
        <f>-'A2. Bgt_FuncExp'!$E$8/12</f>
        <v>-11058.333333333334</v>
      </c>
      <c r="R18" s="215">
        <v>7.1</v>
      </c>
      <c r="S18" s="196"/>
    </row>
    <row r="19" spans="1:19" s="2" customFormat="1" ht="16.95" customHeight="1" x14ac:dyDescent="0.25">
      <c r="A19" s="216">
        <f t="shared" si="0"/>
        <v>7.3</v>
      </c>
      <c r="B19" s="202" t="s">
        <v>373</v>
      </c>
      <c r="D19" s="171">
        <f t="shared" si="1"/>
        <v>-76900</v>
      </c>
      <c r="E19" s="169">
        <f>-'A2. Bgt_FuncExp'!$E$41/12</f>
        <v>-6408.333333333333</v>
      </c>
      <c r="F19" s="169">
        <f>-'A2. Bgt_FuncExp'!$E$41/12</f>
        <v>-6408.333333333333</v>
      </c>
      <c r="G19" s="169">
        <f>-'A2. Bgt_FuncExp'!$E$41/12</f>
        <v>-6408.333333333333</v>
      </c>
      <c r="H19" s="169">
        <f>-'A2. Bgt_FuncExp'!$E$41/12</f>
        <v>-6408.333333333333</v>
      </c>
      <c r="I19" s="169">
        <f>-'A2. Bgt_FuncExp'!$E$41/12</f>
        <v>-6408.333333333333</v>
      </c>
      <c r="J19" s="169">
        <f>-'A2. Bgt_FuncExp'!$E$41/12</f>
        <v>-6408.333333333333</v>
      </c>
      <c r="K19" s="169">
        <f>-'A2. Bgt_FuncExp'!$E$41/12</f>
        <v>-6408.333333333333</v>
      </c>
      <c r="L19" s="169">
        <f>-'A2. Bgt_FuncExp'!$E$41/12</f>
        <v>-6408.333333333333</v>
      </c>
      <c r="M19" s="169">
        <f>-'A2. Bgt_FuncExp'!$E$41/12</f>
        <v>-6408.333333333333</v>
      </c>
      <c r="N19" s="169">
        <f>-'A2. Bgt_FuncExp'!$E$41/12</f>
        <v>-6408.333333333333</v>
      </c>
      <c r="O19" s="169">
        <f>-'A2. Bgt_FuncExp'!$E$41/12</f>
        <v>-6408.333333333333</v>
      </c>
      <c r="P19" s="169">
        <f>-'A2. Bgt_FuncExp'!$E$41/12</f>
        <v>-6408.333333333333</v>
      </c>
      <c r="R19" s="215">
        <v>7.3</v>
      </c>
      <c r="S19" s="3"/>
    </row>
    <row r="20" spans="1:19" ht="16.95" customHeight="1" x14ac:dyDescent="0.25">
      <c r="A20" s="216">
        <f t="shared" si="0"/>
        <v>7.3</v>
      </c>
      <c r="B20" s="202" t="s">
        <v>374</v>
      </c>
      <c r="D20" s="171">
        <f t="shared" si="1"/>
        <v>0</v>
      </c>
      <c r="E20" s="169">
        <f>-'A2. Bgt_FuncExp'!$E$77/12</f>
        <v>0</v>
      </c>
      <c r="F20" s="169">
        <f>-'A2. Bgt_FuncExp'!$E$77/12</f>
        <v>0</v>
      </c>
      <c r="G20" s="169">
        <f>-'A2. Bgt_FuncExp'!$E$77/12</f>
        <v>0</v>
      </c>
      <c r="H20" s="169">
        <f>-'A2. Bgt_FuncExp'!$E$77/12</f>
        <v>0</v>
      </c>
      <c r="I20" s="169">
        <f>-'A2. Bgt_FuncExp'!$E$77/12</f>
        <v>0</v>
      </c>
      <c r="J20" s="169">
        <f>-'A2. Bgt_FuncExp'!$E$77/12</f>
        <v>0</v>
      </c>
      <c r="K20" s="169">
        <f>-'A2. Bgt_FuncExp'!$E$77/12</f>
        <v>0</v>
      </c>
      <c r="L20" s="169">
        <f>-'A2. Bgt_FuncExp'!$E$77/12</f>
        <v>0</v>
      </c>
      <c r="M20" s="169">
        <f>-'A2. Bgt_FuncExp'!$E$77/12</f>
        <v>0</v>
      </c>
      <c r="N20" s="169">
        <f>-'A2. Bgt_FuncExp'!$E$77/12</f>
        <v>0</v>
      </c>
      <c r="O20" s="169">
        <f>-'A2. Bgt_FuncExp'!$E$77/12</f>
        <v>0</v>
      </c>
      <c r="P20" s="169">
        <f>-'A2. Bgt_FuncExp'!$E$77/12</f>
        <v>0</v>
      </c>
      <c r="R20" s="215">
        <v>7.3</v>
      </c>
      <c r="S20" s="3"/>
    </row>
    <row r="21" spans="1:19" ht="16.95" customHeight="1" x14ac:dyDescent="0.25">
      <c r="A21" s="216">
        <f t="shared" si="0"/>
        <v>7.4</v>
      </c>
      <c r="B21" s="202" t="s">
        <v>375</v>
      </c>
      <c r="D21" s="171">
        <f t="shared" si="1"/>
        <v>-102999.99999999999</v>
      </c>
      <c r="E21" s="169">
        <f>-'A2. Bgt_FuncExp'!$E$86/12</f>
        <v>-8583.3333333333339</v>
      </c>
      <c r="F21" s="169">
        <f>-'A2. Bgt_FuncExp'!$E$86/12</f>
        <v>-8583.3333333333339</v>
      </c>
      <c r="G21" s="169">
        <f>-'A2. Bgt_FuncExp'!$E$86/12</f>
        <v>-8583.3333333333339</v>
      </c>
      <c r="H21" s="169">
        <f>-'A2. Bgt_FuncExp'!$E$86/12</f>
        <v>-8583.3333333333339</v>
      </c>
      <c r="I21" s="169">
        <f>-'A2. Bgt_FuncExp'!$E$86/12</f>
        <v>-8583.3333333333339</v>
      </c>
      <c r="J21" s="169">
        <f>-'A2. Bgt_FuncExp'!$E$86/12</f>
        <v>-8583.3333333333339</v>
      </c>
      <c r="K21" s="169">
        <f>-'A2. Bgt_FuncExp'!$E$86/12</f>
        <v>-8583.3333333333339</v>
      </c>
      <c r="L21" s="169">
        <f>-'A2. Bgt_FuncExp'!$E$86/12</f>
        <v>-8583.3333333333339</v>
      </c>
      <c r="M21" s="169">
        <f>-'A2. Bgt_FuncExp'!$E$86/12</f>
        <v>-8583.3333333333339</v>
      </c>
      <c r="N21" s="169">
        <f>-'A2. Bgt_FuncExp'!$E$86/12</f>
        <v>-8583.3333333333339</v>
      </c>
      <c r="O21" s="169">
        <f>-'A2. Bgt_FuncExp'!$E$86/12</f>
        <v>-8583.3333333333339</v>
      </c>
      <c r="P21" s="169">
        <f>-'A2. Bgt_FuncExp'!$E$86/12</f>
        <v>-8583.3333333333339</v>
      </c>
      <c r="R21" s="215">
        <v>7.4</v>
      </c>
      <c r="S21" s="196" t="s">
        <v>729</v>
      </c>
    </row>
    <row r="22" spans="1:19" ht="16.95" customHeight="1" x14ac:dyDescent="0.25">
      <c r="A22" s="216">
        <f t="shared" si="0"/>
        <v>7.5</v>
      </c>
      <c r="B22" s="204" t="s">
        <v>376</v>
      </c>
      <c r="D22" s="171">
        <f t="shared" si="1"/>
        <v>0</v>
      </c>
      <c r="E22" s="169">
        <f>-'A2. Bgt_FuncExp'!$E$99/12</f>
        <v>0</v>
      </c>
      <c r="F22" s="169">
        <f>-'A2. Bgt_FuncExp'!$E$99/12</f>
        <v>0</v>
      </c>
      <c r="G22" s="169">
        <f>-'A2. Bgt_FuncExp'!$E$99/12</f>
        <v>0</v>
      </c>
      <c r="H22" s="169">
        <f>-'A2. Bgt_FuncExp'!$E$99/12</f>
        <v>0</v>
      </c>
      <c r="I22" s="169">
        <f>-'A2. Bgt_FuncExp'!$E$99/12</f>
        <v>0</v>
      </c>
      <c r="J22" s="169">
        <f>-'A2. Bgt_FuncExp'!$E$99/12</f>
        <v>0</v>
      </c>
      <c r="K22" s="169">
        <f>-'A2. Bgt_FuncExp'!$E$99/12</f>
        <v>0</v>
      </c>
      <c r="L22" s="169">
        <f>-'A2. Bgt_FuncExp'!$E$99/12</f>
        <v>0</v>
      </c>
      <c r="M22" s="169">
        <f>-'A2. Bgt_FuncExp'!$E$99/12</f>
        <v>0</v>
      </c>
      <c r="N22" s="169">
        <f>-'A2. Bgt_FuncExp'!$E$99/12</f>
        <v>0</v>
      </c>
      <c r="O22" s="169">
        <f>-'A2. Bgt_FuncExp'!$E$99/12</f>
        <v>0</v>
      </c>
      <c r="P22" s="169">
        <f>-'A2. Bgt_FuncExp'!$E$99/12</f>
        <v>0</v>
      </c>
      <c r="R22" s="215">
        <v>7.5</v>
      </c>
      <c r="S22" s="3"/>
    </row>
    <row r="23" spans="1:19" ht="16.95" customHeight="1" x14ac:dyDescent="0.25">
      <c r="A23" s="216">
        <f t="shared" si="0"/>
        <v>7.6</v>
      </c>
      <c r="B23" s="202" t="s">
        <v>378</v>
      </c>
      <c r="D23" s="171">
        <f t="shared" si="1"/>
        <v>-1000.0000000000001</v>
      </c>
      <c r="E23" s="169">
        <f>-'A2. Bgt_FuncExp'!$E$106/12</f>
        <v>-83.333333333333329</v>
      </c>
      <c r="F23" s="169">
        <f>-'A2. Bgt_FuncExp'!$E$106/12</f>
        <v>-83.333333333333329</v>
      </c>
      <c r="G23" s="169">
        <f>-'A2. Bgt_FuncExp'!$E$106/12</f>
        <v>-83.333333333333329</v>
      </c>
      <c r="H23" s="169">
        <f>-'A2. Bgt_FuncExp'!$E$106/12</f>
        <v>-83.333333333333329</v>
      </c>
      <c r="I23" s="169">
        <f>-'A2. Bgt_FuncExp'!$E$106/12</f>
        <v>-83.333333333333329</v>
      </c>
      <c r="J23" s="169">
        <f>-'A2. Bgt_FuncExp'!$E$106/12</f>
        <v>-83.333333333333329</v>
      </c>
      <c r="K23" s="169">
        <f>-'A2. Bgt_FuncExp'!$E$106/12</f>
        <v>-83.333333333333329</v>
      </c>
      <c r="L23" s="169">
        <f>-'A2. Bgt_FuncExp'!$E$106/12</f>
        <v>-83.333333333333329</v>
      </c>
      <c r="M23" s="169">
        <f>-'A2. Bgt_FuncExp'!$E$106/12</f>
        <v>-83.333333333333329</v>
      </c>
      <c r="N23" s="169">
        <f>-'A2. Bgt_FuncExp'!$E$106/12</f>
        <v>-83.333333333333329</v>
      </c>
      <c r="O23" s="169">
        <f>-'A2. Bgt_FuncExp'!$E$106/12</f>
        <v>-83.333333333333329</v>
      </c>
      <c r="P23" s="169">
        <f>-'A2. Bgt_FuncExp'!$E$106/12</f>
        <v>-83.333333333333329</v>
      </c>
      <c r="R23" s="215">
        <v>7.6</v>
      </c>
      <c r="S23" s="3"/>
    </row>
    <row r="24" spans="1:19" ht="16.95" customHeight="1" x14ac:dyDescent="0.25">
      <c r="A24" s="216">
        <f t="shared" si="0"/>
        <v>7.7</v>
      </c>
      <c r="B24" s="202" t="s">
        <v>379</v>
      </c>
      <c r="D24" s="171">
        <f t="shared" si="1"/>
        <v>0</v>
      </c>
      <c r="E24" s="169">
        <f>-'A2. Bgt_FuncExp'!$E$110/12</f>
        <v>0</v>
      </c>
      <c r="F24" s="169">
        <f>-'A2. Bgt_FuncExp'!$E$110/12</f>
        <v>0</v>
      </c>
      <c r="G24" s="169">
        <f>-'A2. Bgt_FuncExp'!$E$110/12</f>
        <v>0</v>
      </c>
      <c r="H24" s="169">
        <f>-'A2. Bgt_FuncExp'!$E$110/12</f>
        <v>0</v>
      </c>
      <c r="I24" s="169">
        <f>-'A2. Bgt_FuncExp'!$E$110/12</f>
        <v>0</v>
      </c>
      <c r="J24" s="169">
        <f>-'A2. Bgt_FuncExp'!$E$110/12</f>
        <v>0</v>
      </c>
      <c r="K24" s="169">
        <f>-'A2. Bgt_FuncExp'!$E$110/12</f>
        <v>0</v>
      </c>
      <c r="L24" s="169">
        <f>-'A2. Bgt_FuncExp'!$E$110/12</f>
        <v>0</v>
      </c>
      <c r="M24" s="169">
        <f>-'A2. Bgt_FuncExp'!$E$110/12</f>
        <v>0</v>
      </c>
      <c r="N24" s="169">
        <f>-'A2. Bgt_FuncExp'!$E$110/12</f>
        <v>0</v>
      </c>
      <c r="O24" s="169">
        <f>-'A2. Bgt_FuncExp'!$E$110/12</f>
        <v>0</v>
      </c>
      <c r="P24" s="169">
        <f>-'A2. Bgt_FuncExp'!$E$110/12</f>
        <v>0</v>
      </c>
      <c r="R24" s="215">
        <v>7.7</v>
      </c>
      <c r="S24" s="3"/>
    </row>
    <row r="25" spans="1:19" ht="16.95" customHeight="1" collapsed="1" x14ac:dyDescent="0.25">
      <c r="A25" s="173">
        <f t="shared" si="0"/>
        <v>8</v>
      </c>
      <c r="B25" s="194" t="s">
        <v>240</v>
      </c>
      <c r="D25" s="172">
        <f t="shared" ref="D25:P25" si="2">SUM(D11:D24)</f>
        <v>86400.000000000015</v>
      </c>
      <c r="E25" s="172">
        <f t="shared" si="2"/>
        <v>123866.66666666666</v>
      </c>
      <c r="F25" s="172">
        <f t="shared" si="2"/>
        <v>-26133.333333333332</v>
      </c>
      <c r="G25" s="172">
        <f t="shared" si="2"/>
        <v>-26133.333333333332</v>
      </c>
      <c r="H25" s="172">
        <f t="shared" si="2"/>
        <v>-26133.333333333332</v>
      </c>
      <c r="I25" s="172">
        <f t="shared" si="2"/>
        <v>73866.666666666686</v>
      </c>
      <c r="J25" s="172">
        <f t="shared" si="2"/>
        <v>23866.666666666668</v>
      </c>
      <c r="K25" s="172">
        <f t="shared" si="2"/>
        <v>-26133.333333333332</v>
      </c>
      <c r="L25" s="172">
        <f t="shared" si="2"/>
        <v>-26133.333333333332</v>
      </c>
      <c r="M25" s="172">
        <f t="shared" si="2"/>
        <v>-26133.333333333332</v>
      </c>
      <c r="N25" s="172">
        <f t="shared" si="2"/>
        <v>73866.666666666686</v>
      </c>
      <c r="O25" s="172">
        <f t="shared" si="2"/>
        <v>-26133.333333333332</v>
      </c>
      <c r="P25" s="172">
        <f t="shared" si="2"/>
        <v>-26133.333333333332</v>
      </c>
      <c r="R25" s="173">
        <v>8</v>
      </c>
      <c r="S25" s="3" t="s">
        <v>22</v>
      </c>
    </row>
    <row r="26" spans="1:19" ht="16.95" customHeight="1" x14ac:dyDescent="0.25">
      <c r="B26" s="2" t="s">
        <v>241</v>
      </c>
      <c r="D26" s="199"/>
      <c r="E26" s="199"/>
      <c r="F26" s="199"/>
      <c r="G26" s="199"/>
      <c r="H26" s="199"/>
      <c r="I26" s="199"/>
      <c r="J26" s="199"/>
      <c r="K26" s="199"/>
      <c r="L26" s="199"/>
      <c r="M26" s="199"/>
      <c r="N26" s="199"/>
      <c r="O26" s="199"/>
      <c r="P26" s="199"/>
    </row>
    <row r="27" spans="1:19" ht="16.95" customHeight="1" x14ac:dyDescent="0.25">
      <c r="B27" s="192" t="s">
        <v>242</v>
      </c>
      <c r="C27" s="208"/>
      <c r="D27" s="203"/>
      <c r="E27" s="203"/>
      <c r="F27" s="203"/>
      <c r="G27" s="203"/>
      <c r="H27" s="203"/>
      <c r="I27" s="203"/>
      <c r="J27" s="203"/>
      <c r="K27" s="203"/>
      <c r="L27" s="203"/>
      <c r="M27" s="203"/>
      <c r="N27" s="203"/>
      <c r="O27" s="203"/>
      <c r="P27" s="203"/>
    </row>
    <row r="28" spans="1:19" ht="16.95" customHeight="1" x14ac:dyDescent="0.25">
      <c r="A28" s="173">
        <f t="shared" si="0"/>
        <v>9</v>
      </c>
      <c r="B28" s="195" t="s">
        <v>387</v>
      </c>
      <c r="D28" s="165">
        <f>SUM(E28:P28)</f>
        <v>0</v>
      </c>
      <c r="E28" s="163">
        <v>0</v>
      </c>
      <c r="F28" s="163">
        <v>0</v>
      </c>
      <c r="G28" s="163">
        <v>0</v>
      </c>
      <c r="H28" s="163">
        <v>0</v>
      </c>
      <c r="I28" s="163">
        <v>0</v>
      </c>
      <c r="J28" s="163">
        <v>0</v>
      </c>
      <c r="K28" s="163">
        <v>0</v>
      </c>
      <c r="L28" s="163">
        <v>0</v>
      </c>
      <c r="M28" s="163">
        <v>0</v>
      </c>
      <c r="N28" s="163">
        <v>0</v>
      </c>
      <c r="O28" s="163">
        <v>0</v>
      </c>
      <c r="P28" s="163">
        <v>0</v>
      </c>
      <c r="R28" s="173">
        <f>R25+1</f>
        <v>9</v>
      </c>
      <c r="S28" s="196" t="s">
        <v>652</v>
      </c>
    </row>
    <row r="29" spans="1:19" ht="16.95" customHeight="1" x14ac:dyDescent="0.25">
      <c r="A29" s="173">
        <f t="shared" si="0"/>
        <v>10</v>
      </c>
      <c r="B29" s="195" t="s">
        <v>388</v>
      </c>
      <c r="D29" s="165">
        <f>SUM(E29:P29)</f>
        <v>0</v>
      </c>
      <c r="E29" s="163">
        <v>0</v>
      </c>
      <c r="F29" s="163">
        <v>0</v>
      </c>
      <c r="G29" s="163">
        <v>0</v>
      </c>
      <c r="H29" s="163">
        <v>0</v>
      </c>
      <c r="I29" s="163">
        <v>0</v>
      </c>
      <c r="J29" s="163">
        <v>0</v>
      </c>
      <c r="K29" s="163">
        <v>0</v>
      </c>
      <c r="L29" s="163">
        <v>0</v>
      </c>
      <c r="M29" s="163">
        <v>0</v>
      </c>
      <c r="N29" s="163">
        <v>0</v>
      </c>
      <c r="O29" s="163">
        <v>0</v>
      </c>
      <c r="P29" s="163">
        <v>0</v>
      </c>
      <c r="R29" s="173">
        <f>R28+1</f>
        <v>10</v>
      </c>
      <c r="S29" s="196" t="s">
        <v>573</v>
      </c>
    </row>
    <row r="30" spans="1:19" ht="16.95" customHeight="1" x14ac:dyDescent="0.25">
      <c r="A30" s="173">
        <f t="shared" si="0"/>
        <v>11</v>
      </c>
      <c r="B30" s="52" t="s">
        <v>243</v>
      </c>
      <c r="D30" s="167">
        <f>SUM(E28:P29)</f>
        <v>0</v>
      </c>
      <c r="E30" s="167">
        <f>SUM(E28:P29)</f>
        <v>0</v>
      </c>
      <c r="F30" s="167">
        <f>SUM(F28:P29)</f>
        <v>0</v>
      </c>
      <c r="G30" s="167">
        <f>SUM(G28:P29)</f>
        <v>0</v>
      </c>
      <c r="H30" s="167">
        <f>SUM(H28:P29)</f>
        <v>0</v>
      </c>
      <c r="I30" s="167">
        <f>SUM(I28:P29)</f>
        <v>0</v>
      </c>
      <c r="J30" s="167">
        <f>SUM(J28:P29)</f>
        <v>0</v>
      </c>
      <c r="K30" s="167">
        <f>SUM(K28:P29)</f>
        <v>0</v>
      </c>
      <c r="L30" s="167">
        <f>SUM(L28:P29)</f>
        <v>0</v>
      </c>
      <c r="M30" s="167">
        <f>SUM(M28:P29)</f>
        <v>0</v>
      </c>
      <c r="N30" s="167">
        <f>SUM(N28:P29)</f>
        <v>0</v>
      </c>
      <c r="O30" s="167">
        <f>SUM(O28:P29)</f>
        <v>0</v>
      </c>
      <c r="P30" s="167">
        <f>SUM(P28:P29)</f>
        <v>0</v>
      </c>
      <c r="R30" s="173">
        <f>R29+1</f>
        <v>11</v>
      </c>
      <c r="S30" s="3" t="s">
        <v>244</v>
      </c>
    </row>
    <row r="31" spans="1:19" ht="16.95" customHeight="1" x14ac:dyDescent="0.25">
      <c r="D31" s="199"/>
      <c r="E31" s="199"/>
      <c r="F31" s="199"/>
      <c r="G31" s="199"/>
      <c r="H31" s="199"/>
      <c r="I31" s="199"/>
      <c r="J31" s="199"/>
      <c r="K31" s="199"/>
      <c r="L31" s="199"/>
      <c r="M31" s="199"/>
      <c r="N31" s="199"/>
      <c r="O31" s="199"/>
      <c r="P31" s="199"/>
    </row>
    <row r="32" spans="1:19" ht="16.95" customHeight="1" x14ac:dyDescent="0.25">
      <c r="B32" s="192" t="s">
        <v>245</v>
      </c>
      <c r="C32" s="208"/>
      <c r="D32" s="203"/>
      <c r="E32" s="203"/>
      <c r="F32" s="203"/>
      <c r="G32" s="203"/>
      <c r="H32" s="203"/>
      <c r="I32" s="203"/>
      <c r="J32" s="203"/>
      <c r="K32" s="203"/>
      <c r="L32" s="203"/>
      <c r="M32" s="203"/>
      <c r="N32" s="203"/>
      <c r="O32" s="203"/>
      <c r="P32" s="203"/>
    </row>
    <row r="33" spans="1:19" ht="16.95" customHeight="1" x14ac:dyDescent="0.25">
      <c r="A33" s="173">
        <f t="shared" si="0"/>
        <v>12</v>
      </c>
      <c r="B33" s="195" t="s">
        <v>389</v>
      </c>
      <c r="D33" s="165">
        <f>SUM(E33:P33)</f>
        <v>0</v>
      </c>
      <c r="E33" s="163">
        <v>0</v>
      </c>
      <c r="F33" s="163">
        <v>0</v>
      </c>
      <c r="G33" s="163">
        <v>0</v>
      </c>
      <c r="H33" s="163">
        <v>0</v>
      </c>
      <c r="I33" s="163">
        <v>0</v>
      </c>
      <c r="J33" s="163">
        <v>0</v>
      </c>
      <c r="K33" s="163">
        <v>0</v>
      </c>
      <c r="L33" s="163">
        <v>0</v>
      </c>
      <c r="M33" s="163">
        <v>0</v>
      </c>
      <c r="N33" s="163">
        <v>0</v>
      </c>
      <c r="O33" s="163">
        <v>0</v>
      </c>
      <c r="P33" s="163">
        <v>0</v>
      </c>
      <c r="R33" s="173">
        <f>R30+1</f>
        <v>12</v>
      </c>
      <c r="S33" s="196" t="s">
        <v>647</v>
      </c>
    </row>
    <row r="34" spans="1:19" ht="16.95" customHeight="1" x14ac:dyDescent="0.25">
      <c r="A34" s="173">
        <f t="shared" si="0"/>
        <v>13</v>
      </c>
      <c r="B34" s="195" t="s">
        <v>390</v>
      </c>
      <c r="D34" s="165">
        <f>SUM(E34:P34)</f>
        <v>0</v>
      </c>
      <c r="E34" s="163">
        <v>0</v>
      </c>
      <c r="F34" s="163">
        <v>0</v>
      </c>
      <c r="G34" s="163">
        <v>0</v>
      </c>
      <c r="H34" s="163">
        <v>0</v>
      </c>
      <c r="I34" s="163">
        <v>0</v>
      </c>
      <c r="J34" s="163">
        <v>0</v>
      </c>
      <c r="K34" s="163">
        <v>0</v>
      </c>
      <c r="L34" s="163">
        <v>0</v>
      </c>
      <c r="M34" s="163">
        <v>0</v>
      </c>
      <c r="N34" s="163">
        <v>0</v>
      </c>
      <c r="O34" s="163">
        <v>0</v>
      </c>
      <c r="P34" s="163">
        <v>0</v>
      </c>
      <c r="R34" s="173">
        <f>R33+1</f>
        <v>13</v>
      </c>
      <c r="S34" s="196" t="s">
        <v>573</v>
      </c>
    </row>
    <row r="35" spans="1:19" ht="16.95" customHeight="1" x14ac:dyDescent="0.25">
      <c r="A35" s="173">
        <f t="shared" si="0"/>
        <v>14</v>
      </c>
      <c r="B35" s="195" t="s">
        <v>391</v>
      </c>
      <c r="D35" s="165">
        <f>SUM(E35:P35)</f>
        <v>0</v>
      </c>
      <c r="E35" s="163">
        <v>0</v>
      </c>
      <c r="F35" s="163">
        <v>0</v>
      </c>
      <c r="G35" s="163">
        <v>0</v>
      </c>
      <c r="H35" s="163">
        <v>0</v>
      </c>
      <c r="I35" s="163">
        <v>0</v>
      </c>
      <c r="J35" s="163">
        <v>0</v>
      </c>
      <c r="K35" s="163">
        <v>0</v>
      </c>
      <c r="L35" s="163">
        <v>0</v>
      </c>
      <c r="M35" s="163">
        <v>0</v>
      </c>
      <c r="N35" s="163">
        <v>0</v>
      </c>
      <c r="O35" s="163">
        <v>0</v>
      </c>
      <c r="P35" s="163">
        <v>0</v>
      </c>
      <c r="R35" s="173">
        <f>R34+1</f>
        <v>14</v>
      </c>
      <c r="S35" s="196" t="s">
        <v>647</v>
      </c>
    </row>
    <row r="36" spans="1:19" ht="16.95" customHeight="1" x14ac:dyDescent="0.25">
      <c r="A36" s="173">
        <f t="shared" si="0"/>
        <v>15</v>
      </c>
      <c r="B36" s="195" t="s">
        <v>392</v>
      </c>
      <c r="D36" s="165">
        <f>SUM(E36:P36)</f>
        <v>0</v>
      </c>
      <c r="E36" s="163">
        <v>0</v>
      </c>
      <c r="F36" s="163">
        <v>0</v>
      </c>
      <c r="G36" s="163">
        <v>0</v>
      </c>
      <c r="H36" s="163">
        <v>0</v>
      </c>
      <c r="I36" s="163">
        <v>0</v>
      </c>
      <c r="J36" s="163">
        <v>0</v>
      </c>
      <c r="K36" s="163">
        <v>0</v>
      </c>
      <c r="L36" s="163">
        <v>0</v>
      </c>
      <c r="M36" s="163">
        <v>0</v>
      </c>
      <c r="N36" s="163">
        <v>0</v>
      </c>
      <c r="O36" s="163">
        <v>0</v>
      </c>
      <c r="P36" s="163">
        <v>0</v>
      </c>
      <c r="R36" s="173">
        <f>R35+1</f>
        <v>15</v>
      </c>
      <c r="S36" s="196" t="s">
        <v>647</v>
      </c>
    </row>
    <row r="37" spans="1:19" ht="16.95" customHeight="1" x14ac:dyDescent="0.25">
      <c r="A37" s="173">
        <f t="shared" si="0"/>
        <v>16</v>
      </c>
      <c r="B37" s="52" t="s">
        <v>246</v>
      </c>
      <c r="D37" s="200">
        <f>SUM(D33:D36)</f>
        <v>0</v>
      </c>
      <c r="E37" s="167">
        <f t="shared" ref="E37:P37" si="3">SUM(E33:E36)</f>
        <v>0</v>
      </c>
      <c r="F37" s="167">
        <f t="shared" si="3"/>
        <v>0</v>
      </c>
      <c r="G37" s="167">
        <f t="shared" si="3"/>
        <v>0</v>
      </c>
      <c r="H37" s="167">
        <f t="shared" si="3"/>
        <v>0</v>
      </c>
      <c r="I37" s="167">
        <f t="shared" si="3"/>
        <v>0</v>
      </c>
      <c r="J37" s="167">
        <f t="shared" si="3"/>
        <v>0</v>
      </c>
      <c r="K37" s="167">
        <f t="shared" si="3"/>
        <v>0</v>
      </c>
      <c r="L37" s="167">
        <f t="shared" si="3"/>
        <v>0</v>
      </c>
      <c r="M37" s="167">
        <f t="shared" si="3"/>
        <v>0</v>
      </c>
      <c r="N37" s="167">
        <f t="shared" si="3"/>
        <v>0</v>
      </c>
      <c r="O37" s="167">
        <f t="shared" si="3"/>
        <v>0</v>
      </c>
      <c r="P37" s="167">
        <f t="shared" si="3"/>
        <v>0</v>
      </c>
      <c r="R37" s="173">
        <f>R36+1</f>
        <v>16</v>
      </c>
      <c r="S37" s="3" t="s">
        <v>244</v>
      </c>
    </row>
    <row r="38" spans="1:19" ht="16.95" customHeight="1" x14ac:dyDescent="0.25">
      <c r="D38" s="199"/>
      <c r="E38" s="199"/>
      <c r="F38" s="199"/>
      <c r="G38" s="199"/>
      <c r="H38" s="199"/>
      <c r="I38" s="199"/>
      <c r="J38" s="199"/>
      <c r="K38" s="199"/>
      <c r="L38" s="199"/>
      <c r="M38" s="199"/>
      <c r="N38" s="199"/>
      <c r="O38" s="199"/>
      <c r="P38" s="199"/>
    </row>
    <row r="39" spans="1:19" ht="16.95" customHeight="1" x14ac:dyDescent="0.25">
      <c r="A39" s="173">
        <f t="shared" si="0"/>
        <v>17</v>
      </c>
      <c r="B39" s="52" t="s">
        <v>247</v>
      </c>
      <c r="D39" s="167">
        <f>D25-D30-D37</f>
        <v>86400.000000000015</v>
      </c>
      <c r="E39" s="167">
        <f>E25-E30-E37</f>
        <v>123866.66666666666</v>
      </c>
      <c r="F39" s="167">
        <f t="shared" ref="F39:P39" si="4">F25-F30-F37</f>
        <v>-26133.333333333332</v>
      </c>
      <c r="G39" s="167">
        <f t="shared" si="4"/>
        <v>-26133.333333333332</v>
      </c>
      <c r="H39" s="167">
        <f t="shared" si="4"/>
        <v>-26133.333333333332</v>
      </c>
      <c r="I39" s="167">
        <f t="shared" si="4"/>
        <v>73866.666666666686</v>
      </c>
      <c r="J39" s="167">
        <f t="shared" si="4"/>
        <v>23866.666666666668</v>
      </c>
      <c r="K39" s="167">
        <f t="shared" si="4"/>
        <v>-26133.333333333332</v>
      </c>
      <c r="L39" s="167">
        <f t="shared" si="4"/>
        <v>-26133.333333333332</v>
      </c>
      <c r="M39" s="167">
        <f t="shared" si="4"/>
        <v>-26133.333333333332</v>
      </c>
      <c r="N39" s="167">
        <f t="shared" si="4"/>
        <v>73866.666666666686</v>
      </c>
      <c r="O39" s="167">
        <f t="shared" si="4"/>
        <v>-26133.333333333332</v>
      </c>
      <c r="P39" s="167">
        <f t="shared" si="4"/>
        <v>-26133.333333333332</v>
      </c>
      <c r="R39" s="173">
        <f>R37+1</f>
        <v>17</v>
      </c>
      <c r="S39" s="3" t="s">
        <v>244</v>
      </c>
    </row>
    <row r="40" spans="1:19" ht="16.95" customHeight="1" x14ac:dyDescent="0.25">
      <c r="D40" s="199"/>
      <c r="E40" s="199"/>
      <c r="F40" s="199"/>
      <c r="G40" s="199"/>
      <c r="H40" s="199"/>
      <c r="I40" s="199"/>
      <c r="J40" s="199"/>
      <c r="K40" s="199"/>
      <c r="L40" s="199"/>
      <c r="M40" s="199"/>
      <c r="N40" s="199"/>
      <c r="O40" s="199"/>
      <c r="P40" s="199"/>
    </row>
    <row r="41" spans="1:19" ht="16.95" customHeight="1" x14ac:dyDescent="0.25">
      <c r="A41" s="173">
        <f t="shared" si="0"/>
        <v>18</v>
      </c>
      <c r="B41" s="52" t="s">
        <v>248</v>
      </c>
      <c r="D41" s="167">
        <f>E41</f>
        <v>0</v>
      </c>
      <c r="E41" s="163">
        <v>0</v>
      </c>
      <c r="F41" s="167">
        <f t="shared" ref="F41:P41" si="5">E42</f>
        <v>123866.66666666666</v>
      </c>
      <c r="G41" s="167">
        <f t="shared" si="5"/>
        <v>97733.333333333328</v>
      </c>
      <c r="H41" s="167">
        <f t="shared" si="5"/>
        <v>71600</v>
      </c>
      <c r="I41" s="167">
        <f t="shared" si="5"/>
        <v>45466.666666666672</v>
      </c>
      <c r="J41" s="167">
        <f t="shared" si="5"/>
        <v>119333.33333333336</v>
      </c>
      <c r="K41" s="167">
        <f t="shared" si="5"/>
        <v>143200.00000000003</v>
      </c>
      <c r="L41" s="167">
        <f t="shared" si="5"/>
        <v>117066.6666666667</v>
      </c>
      <c r="M41" s="167">
        <f t="shared" si="5"/>
        <v>90933.333333333372</v>
      </c>
      <c r="N41" s="167">
        <f t="shared" si="5"/>
        <v>64800.000000000044</v>
      </c>
      <c r="O41" s="167">
        <f t="shared" si="5"/>
        <v>138666.66666666674</v>
      </c>
      <c r="P41" s="167">
        <f t="shared" si="5"/>
        <v>112533.33333333342</v>
      </c>
      <c r="R41" s="173">
        <f>R39+1</f>
        <v>18</v>
      </c>
      <c r="S41" s="3" t="s">
        <v>249</v>
      </c>
    </row>
    <row r="42" spans="1:19" ht="16.95" customHeight="1" x14ac:dyDescent="0.25">
      <c r="A42" s="173">
        <f t="shared" si="0"/>
        <v>20</v>
      </c>
      <c r="B42" s="52" t="s">
        <v>250</v>
      </c>
      <c r="D42" s="167">
        <f t="shared" ref="D42:P42" si="6">D39+D41</f>
        <v>86400.000000000015</v>
      </c>
      <c r="E42" s="167">
        <f>E39+E41</f>
        <v>123866.66666666666</v>
      </c>
      <c r="F42" s="167">
        <f t="shared" si="6"/>
        <v>97733.333333333328</v>
      </c>
      <c r="G42" s="167">
        <f t="shared" si="6"/>
        <v>71600</v>
      </c>
      <c r="H42" s="167">
        <f t="shared" si="6"/>
        <v>45466.666666666672</v>
      </c>
      <c r="I42" s="167">
        <f t="shared" si="6"/>
        <v>119333.33333333336</v>
      </c>
      <c r="J42" s="167">
        <f t="shared" si="6"/>
        <v>143200.00000000003</v>
      </c>
      <c r="K42" s="167">
        <f t="shared" si="6"/>
        <v>117066.6666666667</v>
      </c>
      <c r="L42" s="167">
        <f t="shared" si="6"/>
        <v>90933.333333333372</v>
      </c>
      <c r="M42" s="167">
        <f t="shared" si="6"/>
        <v>64800.000000000044</v>
      </c>
      <c r="N42" s="167">
        <f t="shared" si="6"/>
        <v>138666.66666666674</v>
      </c>
      <c r="O42" s="167">
        <f t="shared" si="6"/>
        <v>112533.33333333342</v>
      </c>
      <c r="P42" s="167">
        <f t="shared" si="6"/>
        <v>86400.000000000087</v>
      </c>
      <c r="R42" s="173">
        <v>20</v>
      </c>
      <c r="S42" s="3" t="s">
        <v>244</v>
      </c>
    </row>
  </sheetData>
  <mergeCells count="1">
    <mergeCell ref="A4:P4"/>
  </mergeCells>
  <pageMargins left="0.31" right="0.48" top="0.75" bottom="0.75" header="0.3" footer="0.3"/>
  <pageSetup paperSize="17" scale="63" fitToWidth="0" fitToHeight="0" orientation="landscape" r:id="rId1"/>
  <ignoredErrors>
    <ignoredError sqref="D25:P25"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42"/>
  <sheetViews>
    <sheetView zoomScale="50" zoomScaleNormal="50" workbookViewId="0">
      <selection sqref="A1:P42"/>
    </sheetView>
  </sheetViews>
  <sheetFormatPr defaultColWidth="8.77734375" defaultRowHeight="16.95" customHeight="1" outlineLevelCol="1" x14ac:dyDescent="0.25"/>
  <cols>
    <col min="1" max="1" width="8.77734375" style="233"/>
    <col min="2" max="2" width="53.77734375" style="233" bestFit="1" customWidth="1"/>
    <col min="3" max="3" width="2.109375" style="233" customWidth="1"/>
    <col min="4" max="4" width="9.77734375" style="233" customWidth="1"/>
    <col min="5" max="16" width="9.77734375" style="233" customWidth="1" outlineLevel="1"/>
    <col min="17" max="17" width="3.44140625" style="233" customWidth="1"/>
    <col min="18" max="18" width="6.77734375" style="233" customWidth="1"/>
    <col min="19" max="19" width="137.44140625" style="237" customWidth="1"/>
    <col min="20" max="257" width="8.77734375" style="233"/>
    <col min="258" max="258" width="53.77734375" style="233" bestFit="1" customWidth="1"/>
    <col min="259" max="259" width="2.109375" style="233" customWidth="1"/>
    <col min="260" max="260" width="10" style="233" bestFit="1" customWidth="1"/>
    <col min="261" max="261" width="9.44140625" style="233" bestFit="1" customWidth="1"/>
    <col min="262" max="262" width="10" style="233" customWidth="1"/>
    <col min="263" max="263" width="11" style="233" customWidth="1"/>
    <col min="264" max="264" width="10" style="233" customWidth="1"/>
    <col min="265" max="266" width="10.33203125" style="233" customWidth="1"/>
    <col min="267" max="268" width="10" style="233" customWidth="1"/>
    <col min="269" max="272" width="9" style="233" bestFit="1" customWidth="1"/>
    <col min="273" max="273" width="3.44140625" style="233" customWidth="1"/>
    <col min="274" max="274" width="6.77734375" style="233" customWidth="1"/>
    <col min="275" max="275" width="55.44140625" style="233" customWidth="1"/>
    <col min="276" max="513" width="8.77734375" style="233"/>
    <col min="514" max="514" width="53.77734375" style="233" bestFit="1" customWidth="1"/>
    <col min="515" max="515" width="2.109375" style="233" customWidth="1"/>
    <col min="516" max="516" width="10" style="233" bestFit="1" customWidth="1"/>
    <col min="517" max="517" width="9.44140625" style="233" bestFit="1" customWidth="1"/>
    <col min="518" max="518" width="10" style="233" customWidth="1"/>
    <col min="519" max="519" width="11" style="233" customWidth="1"/>
    <col min="520" max="520" width="10" style="233" customWidth="1"/>
    <col min="521" max="522" width="10.33203125" style="233" customWidth="1"/>
    <col min="523" max="524" width="10" style="233" customWidth="1"/>
    <col min="525" max="528" width="9" style="233" bestFit="1" customWidth="1"/>
    <col min="529" max="529" width="3.44140625" style="233" customWidth="1"/>
    <col min="530" max="530" width="6.77734375" style="233" customWidth="1"/>
    <col min="531" max="531" width="55.44140625" style="233" customWidth="1"/>
    <col min="532" max="769" width="8.77734375" style="233"/>
    <col min="770" max="770" width="53.77734375" style="233" bestFit="1" customWidth="1"/>
    <col min="771" max="771" width="2.109375" style="233" customWidth="1"/>
    <col min="772" max="772" width="10" style="233" bestFit="1" customWidth="1"/>
    <col min="773" max="773" width="9.44140625" style="233" bestFit="1" customWidth="1"/>
    <col min="774" max="774" width="10" style="233" customWidth="1"/>
    <col min="775" max="775" width="11" style="233" customWidth="1"/>
    <col min="776" max="776" width="10" style="233" customWidth="1"/>
    <col min="777" max="778" width="10.33203125" style="233" customWidth="1"/>
    <col min="779" max="780" width="10" style="233" customWidth="1"/>
    <col min="781" max="784" width="9" style="233" bestFit="1" customWidth="1"/>
    <col min="785" max="785" width="3.44140625" style="233" customWidth="1"/>
    <col min="786" max="786" width="6.77734375" style="233" customWidth="1"/>
    <col min="787" max="787" width="55.44140625" style="233" customWidth="1"/>
    <col min="788" max="1025" width="8.77734375" style="233"/>
    <col min="1026" max="1026" width="53.77734375" style="233" bestFit="1" customWidth="1"/>
    <col min="1027" max="1027" width="2.109375" style="233" customWidth="1"/>
    <col min="1028" max="1028" width="10" style="233" bestFit="1" customWidth="1"/>
    <col min="1029" max="1029" width="9.44140625" style="233" bestFit="1" customWidth="1"/>
    <col min="1030" max="1030" width="10" style="233" customWidth="1"/>
    <col min="1031" max="1031" width="11" style="233" customWidth="1"/>
    <col min="1032" max="1032" width="10" style="233" customWidth="1"/>
    <col min="1033" max="1034" width="10.33203125" style="233" customWidth="1"/>
    <col min="1035" max="1036" width="10" style="233" customWidth="1"/>
    <col min="1037" max="1040" width="9" style="233" bestFit="1" customWidth="1"/>
    <col min="1041" max="1041" width="3.44140625" style="233" customWidth="1"/>
    <col min="1042" max="1042" width="6.77734375" style="233" customWidth="1"/>
    <col min="1043" max="1043" width="55.44140625" style="233" customWidth="1"/>
    <col min="1044" max="1281" width="8.77734375" style="233"/>
    <col min="1282" max="1282" width="53.77734375" style="233" bestFit="1" customWidth="1"/>
    <col min="1283" max="1283" width="2.109375" style="233" customWidth="1"/>
    <col min="1284" max="1284" width="10" style="233" bestFit="1" customWidth="1"/>
    <col min="1285" max="1285" width="9.44140625" style="233" bestFit="1" customWidth="1"/>
    <col min="1286" max="1286" width="10" style="233" customWidth="1"/>
    <col min="1287" max="1287" width="11" style="233" customWidth="1"/>
    <col min="1288" max="1288" width="10" style="233" customWidth="1"/>
    <col min="1289" max="1290" width="10.33203125" style="233" customWidth="1"/>
    <col min="1291" max="1292" width="10" style="233" customWidth="1"/>
    <col min="1293" max="1296" width="9" style="233" bestFit="1" customWidth="1"/>
    <col min="1297" max="1297" width="3.44140625" style="233" customWidth="1"/>
    <col min="1298" max="1298" width="6.77734375" style="233" customWidth="1"/>
    <col min="1299" max="1299" width="55.44140625" style="233" customWidth="1"/>
    <col min="1300" max="1537" width="8.77734375" style="233"/>
    <col min="1538" max="1538" width="53.77734375" style="233" bestFit="1" customWidth="1"/>
    <col min="1539" max="1539" width="2.109375" style="233" customWidth="1"/>
    <col min="1540" max="1540" width="10" style="233" bestFit="1" customWidth="1"/>
    <col min="1541" max="1541" width="9.44140625" style="233" bestFit="1" customWidth="1"/>
    <col min="1542" max="1542" width="10" style="233" customWidth="1"/>
    <col min="1543" max="1543" width="11" style="233" customWidth="1"/>
    <col min="1544" max="1544" width="10" style="233" customWidth="1"/>
    <col min="1545" max="1546" width="10.33203125" style="233" customWidth="1"/>
    <col min="1547" max="1548" width="10" style="233" customWidth="1"/>
    <col min="1549" max="1552" width="9" style="233" bestFit="1" customWidth="1"/>
    <col min="1553" max="1553" width="3.44140625" style="233" customWidth="1"/>
    <col min="1554" max="1554" width="6.77734375" style="233" customWidth="1"/>
    <col min="1555" max="1555" width="55.44140625" style="233" customWidth="1"/>
    <col min="1556" max="1793" width="8.77734375" style="233"/>
    <col min="1794" max="1794" width="53.77734375" style="233" bestFit="1" customWidth="1"/>
    <col min="1795" max="1795" width="2.109375" style="233" customWidth="1"/>
    <col min="1796" max="1796" width="10" style="233" bestFit="1" customWidth="1"/>
    <col min="1797" max="1797" width="9.44140625" style="233" bestFit="1" customWidth="1"/>
    <col min="1798" max="1798" width="10" style="233" customWidth="1"/>
    <col min="1799" max="1799" width="11" style="233" customWidth="1"/>
    <col min="1800" max="1800" width="10" style="233" customWidth="1"/>
    <col min="1801" max="1802" width="10.33203125" style="233" customWidth="1"/>
    <col min="1803" max="1804" width="10" style="233" customWidth="1"/>
    <col min="1805" max="1808" width="9" style="233" bestFit="1" customWidth="1"/>
    <col min="1809" max="1809" width="3.44140625" style="233" customWidth="1"/>
    <col min="1810" max="1810" width="6.77734375" style="233" customWidth="1"/>
    <col min="1811" max="1811" width="55.44140625" style="233" customWidth="1"/>
    <col min="1812" max="2049" width="8.77734375" style="233"/>
    <col min="2050" max="2050" width="53.77734375" style="233" bestFit="1" customWidth="1"/>
    <col min="2051" max="2051" width="2.109375" style="233" customWidth="1"/>
    <col min="2052" max="2052" width="10" style="233" bestFit="1" customWidth="1"/>
    <col min="2053" max="2053" width="9.44140625" style="233" bestFit="1" customWidth="1"/>
    <col min="2054" max="2054" width="10" style="233" customWidth="1"/>
    <col min="2055" max="2055" width="11" style="233" customWidth="1"/>
    <col min="2056" max="2056" width="10" style="233" customWidth="1"/>
    <col min="2057" max="2058" width="10.33203125" style="233" customWidth="1"/>
    <col min="2059" max="2060" width="10" style="233" customWidth="1"/>
    <col min="2061" max="2064" width="9" style="233" bestFit="1" customWidth="1"/>
    <col min="2065" max="2065" width="3.44140625" style="233" customWidth="1"/>
    <col min="2066" max="2066" width="6.77734375" style="233" customWidth="1"/>
    <col min="2067" max="2067" width="55.44140625" style="233" customWidth="1"/>
    <col min="2068" max="2305" width="8.77734375" style="233"/>
    <col min="2306" max="2306" width="53.77734375" style="233" bestFit="1" customWidth="1"/>
    <col min="2307" max="2307" width="2.109375" style="233" customWidth="1"/>
    <col min="2308" max="2308" width="10" style="233" bestFit="1" customWidth="1"/>
    <col min="2309" max="2309" width="9.44140625" style="233" bestFit="1" customWidth="1"/>
    <col min="2310" max="2310" width="10" style="233" customWidth="1"/>
    <col min="2311" max="2311" width="11" style="233" customWidth="1"/>
    <col min="2312" max="2312" width="10" style="233" customWidth="1"/>
    <col min="2313" max="2314" width="10.33203125" style="233" customWidth="1"/>
    <col min="2315" max="2316" width="10" style="233" customWidth="1"/>
    <col min="2317" max="2320" width="9" style="233" bestFit="1" customWidth="1"/>
    <col min="2321" max="2321" width="3.44140625" style="233" customWidth="1"/>
    <col min="2322" max="2322" width="6.77734375" style="233" customWidth="1"/>
    <col min="2323" max="2323" width="55.44140625" style="233" customWidth="1"/>
    <col min="2324" max="2561" width="8.77734375" style="233"/>
    <col min="2562" max="2562" width="53.77734375" style="233" bestFit="1" customWidth="1"/>
    <col min="2563" max="2563" width="2.109375" style="233" customWidth="1"/>
    <col min="2564" max="2564" width="10" style="233" bestFit="1" customWidth="1"/>
    <col min="2565" max="2565" width="9.44140625" style="233" bestFit="1" customWidth="1"/>
    <col min="2566" max="2566" width="10" style="233" customWidth="1"/>
    <col min="2567" max="2567" width="11" style="233" customWidth="1"/>
    <col min="2568" max="2568" width="10" style="233" customWidth="1"/>
    <col min="2569" max="2570" width="10.33203125" style="233" customWidth="1"/>
    <col min="2571" max="2572" width="10" style="233" customWidth="1"/>
    <col min="2573" max="2576" width="9" style="233" bestFit="1" customWidth="1"/>
    <col min="2577" max="2577" width="3.44140625" style="233" customWidth="1"/>
    <col min="2578" max="2578" width="6.77734375" style="233" customWidth="1"/>
    <col min="2579" max="2579" width="55.44140625" style="233" customWidth="1"/>
    <col min="2580" max="2817" width="8.77734375" style="233"/>
    <col min="2818" max="2818" width="53.77734375" style="233" bestFit="1" customWidth="1"/>
    <col min="2819" max="2819" width="2.109375" style="233" customWidth="1"/>
    <col min="2820" max="2820" width="10" style="233" bestFit="1" customWidth="1"/>
    <col min="2821" max="2821" width="9.44140625" style="233" bestFit="1" customWidth="1"/>
    <col min="2822" max="2822" width="10" style="233" customWidth="1"/>
    <col min="2823" max="2823" width="11" style="233" customWidth="1"/>
    <col min="2824" max="2824" width="10" style="233" customWidth="1"/>
    <col min="2825" max="2826" width="10.33203125" style="233" customWidth="1"/>
    <col min="2827" max="2828" width="10" style="233" customWidth="1"/>
    <col min="2829" max="2832" width="9" style="233" bestFit="1" customWidth="1"/>
    <col min="2833" max="2833" width="3.44140625" style="233" customWidth="1"/>
    <col min="2834" max="2834" width="6.77734375" style="233" customWidth="1"/>
    <col min="2835" max="2835" width="55.44140625" style="233" customWidth="1"/>
    <col min="2836" max="3073" width="8.77734375" style="233"/>
    <col min="3074" max="3074" width="53.77734375" style="233" bestFit="1" customWidth="1"/>
    <col min="3075" max="3075" width="2.109375" style="233" customWidth="1"/>
    <col min="3076" max="3076" width="10" style="233" bestFit="1" customWidth="1"/>
    <col min="3077" max="3077" width="9.44140625" style="233" bestFit="1" customWidth="1"/>
    <col min="3078" max="3078" width="10" style="233" customWidth="1"/>
    <col min="3079" max="3079" width="11" style="233" customWidth="1"/>
    <col min="3080" max="3080" width="10" style="233" customWidth="1"/>
    <col min="3081" max="3082" width="10.33203125" style="233" customWidth="1"/>
    <col min="3083" max="3084" width="10" style="233" customWidth="1"/>
    <col min="3085" max="3088" width="9" style="233" bestFit="1" customWidth="1"/>
    <col min="3089" max="3089" width="3.44140625" style="233" customWidth="1"/>
    <col min="3090" max="3090" width="6.77734375" style="233" customWidth="1"/>
    <col min="3091" max="3091" width="55.44140625" style="233" customWidth="1"/>
    <col min="3092" max="3329" width="8.77734375" style="233"/>
    <col min="3330" max="3330" width="53.77734375" style="233" bestFit="1" customWidth="1"/>
    <col min="3331" max="3331" width="2.109375" style="233" customWidth="1"/>
    <col min="3332" max="3332" width="10" style="233" bestFit="1" customWidth="1"/>
    <col min="3333" max="3333" width="9.44140625" style="233" bestFit="1" customWidth="1"/>
    <col min="3334" max="3334" width="10" style="233" customWidth="1"/>
    <col min="3335" max="3335" width="11" style="233" customWidth="1"/>
    <col min="3336" max="3336" width="10" style="233" customWidth="1"/>
    <col min="3337" max="3338" width="10.33203125" style="233" customWidth="1"/>
    <col min="3339" max="3340" width="10" style="233" customWidth="1"/>
    <col min="3341" max="3344" width="9" style="233" bestFit="1" customWidth="1"/>
    <col min="3345" max="3345" width="3.44140625" style="233" customWidth="1"/>
    <col min="3346" max="3346" width="6.77734375" style="233" customWidth="1"/>
    <col min="3347" max="3347" width="55.44140625" style="233" customWidth="1"/>
    <col min="3348" max="3585" width="8.77734375" style="233"/>
    <col min="3586" max="3586" width="53.77734375" style="233" bestFit="1" customWidth="1"/>
    <col min="3587" max="3587" width="2.109375" style="233" customWidth="1"/>
    <col min="3588" max="3588" width="10" style="233" bestFit="1" customWidth="1"/>
    <col min="3589" max="3589" width="9.44140625" style="233" bestFit="1" customWidth="1"/>
    <col min="3590" max="3590" width="10" style="233" customWidth="1"/>
    <col min="3591" max="3591" width="11" style="233" customWidth="1"/>
    <col min="3592" max="3592" width="10" style="233" customWidth="1"/>
    <col min="3593" max="3594" width="10.33203125" style="233" customWidth="1"/>
    <col min="3595" max="3596" width="10" style="233" customWidth="1"/>
    <col min="3597" max="3600" width="9" style="233" bestFit="1" customWidth="1"/>
    <col min="3601" max="3601" width="3.44140625" style="233" customWidth="1"/>
    <col min="3602" max="3602" width="6.77734375" style="233" customWidth="1"/>
    <col min="3603" max="3603" width="55.44140625" style="233" customWidth="1"/>
    <col min="3604" max="3841" width="8.77734375" style="233"/>
    <col min="3842" max="3842" width="53.77734375" style="233" bestFit="1" customWidth="1"/>
    <col min="3843" max="3843" width="2.109375" style="233" customWidth="1"/>
    <col min="3844" max="3844" width="10" style="233" bestFit="1" customWidth="1"/>
    <col min="3845" max="3845" width="9.44140625" style="233" bestFit="1" customWidth="1"/>
    <col min="3846" max="3846" width="10" style="233" customWidth="1"/>
    <col min="3847" max="3847" width="11" style="233" customWidth="1"/>
    <col min="3848" max="3848" width="10" style="233" customWidth="1"/>
    <col min="3849" max="3850" width="10.33203125" style="233" customWidth="1"/>
    <col min="3851" max="3852" width="10" style="233" customWidth="1"/>
    <col min="3853" max="3856" width="9" style="233" bestFit="1" customWidth="1"/>
    <col min="3857" max="3857" width="3.44140625" style="233" customWidth="1"/>
    <col min="3858" max="3858" width="6.77734375" style="233" customWidth="1"/>
    <col min="3859" max="3859" width="55.44140625" style="233" customWidth="1"/>
    <col min="3860" max="4097" width="8.77734375" style="233"/>
    <col min="4098" max="4098" width="53.77734375" style="233" bestFit="1" customWidth="1"/>
    <col min="4099" max="4099" width="2.109375" style="233" customWidth="1"/>
    <col min="4100" max="4100" width="10" style="233" bestFit="1" customWidth="1"/>
    <col min="4101" max="4101" width="9.44140625" style="233" bestFit="1" customWidth="1"/>
    <col min="4102" max="4102" width="10" style="233" customWidth="1"/>
    <col min="4103" max="4103" width="11" style="233" customWidth="1"/>
    <col min="4104" max="4104" width="10" style="233" customWidth="1"/>
    <col min="4105" max="4106" width="10.33203125" style="233" customWidth="1"/>
    <col min="4107" max="4108" width="10" style="233" customWidth="1"/>
    <col min="4109" max="4112" width="9" style="233" bestFit="1" customWidth="1"/>
    <col min="4113" max="4113" width="3.44140625" style="233" customWidth="1"/>
    <col min="4114" max="4114" width="6.77734375" style="233" customWidth="1"/>
    <col min="4115" max="4115" width="55.44140625" style="233" customWidth="1"/>
    <col min="4116" max="4353" width="8.77734375" style="233"/>
    <col min="4354" max="4354" width="53.77734375" style="233" bestFit="1" customWidth="1"/>
    <col min="4355" max="4355" width="2.109375" style="233" customWidth="1"/>
    <col min="4356" max="4356" width="10" style="233" bestFit="1" customWidth="1"/>
    <col min="4357" max="4357" width="9.44140625" style="233" bestFit="1" customWidth="1"/>
    <col min="4358" max="4358" width="10" style="233" customWidth="1"/>
    <col min="4359" max="4359" width="11" style="233" customWidth="1"/>
    <col min="4360" max="4360" width="10" style="233" customWidth="1"/>
    <col min="4361" max="4362" width="10.33203125" style="233" customWidth="1"/>
    <col min="4363" max="4364" width="10" style="233" customWidth="1"/>
    <col min="4365" max="4368" width="9" style="233" bestFit="1" customWidth="1"/>
    <col min="4369" max="4369" width="3.44140625" style="233" customWidth="1"/>
    <col min="4370" max="4370" width="6.77734375" style="233" customWidth="1"/>
    <col min="4371" max="4371" width="55.44140625" style="233" customWidth="1"/>
    <col min="4372" max="4609" width="8.77734375" style="233"/>
    <col min="4610" max="4610" width="53.77734375" style="233" bestFit="1" customWidth="1"/>
    <col min="4611" max="4611" width="2.109375" style="233" customWidth="1"/>
    <col min="4612" max="4612" width="10" style="233" bestFit="1" customWidth="1"/>
    <col min="4613" max="4613" width="9.44140625" style="233" bestFit="1" customWidth="1"/>
    <col min="4614" max="4614" width="10" style="233" customWidth="1"/>
    <col min="4615" max="4615" width="11" style="233" customWidth="1"/>
    <col min="4616" max="4616" width="10" style="233" customWidth="1"/>
    <col min="4617" max="4618" width="10.33203125" style="233" customWidth="1"/>
    <col min="4619" max="4620" width="10" style="233" customWidth="1"/>
    <col min="4621" max="4624" width="9" style="233" bestFit="1" customWidth="1"/>
    <col min="4625" max="4625" width="3.44140625" style="233" customWidth="1"/>
    <col min="4626" max="4626" width="6.77734375" style="233" customWidth="1"/>
    <col min="4627" max="4627" width="55.44140625" style="233" customWidth="1"/>
    <col min="4628" max="4865" width="8.77734375" style="233"/>
    <col min="4866" max="4866" width="53.77734375" style="233" bestFit="1" customWidth="1"/>
    <col min="4867" max="4867" width="2.109375" style="233" customWidth="1"/>
    <col min="4868" max="4868" width="10" style="233" bestFit="1" customWidth="1"/>
    <col min="4869" max="4869" width="9.44140625" style="233" bestFit="1" customWidth="1"/>
    <col min="4870" max="4870" width="10" style="233" customWidth="1"/>
    <col min="4871" max="4871" width="11" style="233" customWidth="1"/>
    <col min="4872" max="4872" width="10" style="233" customWidth="1"/>
    <col min="4873" max="4874" width="10.33203125" style="233" customWidth="1"/>
    <col min="4875" max="4876" width="10" style="233" customWidth="1"/>
    <col min="4877" max="4880" width="9" style="233" bestFit="1" customWidth="1"/>
    <col min="4881" max="4881" width="3.44140625" style="233" customWidth="1"/>
    <col min="4882" max="4882" width="6.77734375" style="233" customWidth="1"/>
    <col min="4883" max="4883" width="55.44140625" style="233" customWidth="1"/>
    <col min="4884" max="5121" width="8.77734375" style="233"/>
    <col min="5122" max="5122" width="53.77734375" style="233" bestFit="1" customWidth="1"/>
    <col min="5123" max="5123" width="2.109375" style="233" customWidth="1"/>
    <col min="5124" max="5124" width="10" style="233" bestFit="1" customWidth="1"/>
    <col min="5125" max="5125" width="9.44140625" style="233" bestFit="1" customWidth="1"/>
    <col min="5126" max="5126" width="10" style="233" customWidth="1"/>
    <col min="5127" max="5127" width="11" style="233" customWidth="1"/>
    <col min="5128" max="5128" width="10" style="233" customWidth="1"/>
    <col min="5129" max="5130" width="10.33203125" style="233" customWidth="1"/>
    <col min="5131" max="5132" width="10" style="233" customWidth="1"/>
    <col min="5133" max="5136" width="9" style="233" bestFit="1" customWidth="1"/>
    <col min="5137" max="5137" width="3.44140625" style="233" customWidth="1"/>
    <col min="5138" max="5138" width="6.77734375" style="233" customWidth="1"/>
    <col min="5139" max="5139" width="55.44140625" style="233" customWidth="1"/>
    <col min="5140" max="5377" width="8.77734375" style="233"/>
    <col min="5378" max="5378" width="53.77734375" style="233" bestFit="1" customWidth="1"/>
    <col min="5379" max="5379" width="2.109375" style="233" customWidth="1"/>
    <col min="5380" max="5380" width="10" style="233" bestFit="1" customWidth="1"/>
    <col min="5381" max="5381" width="9.44140625" style="233" bestFit="1" customWidth="1"/>
    <col min="5382" max="5382" width="10" style="233" customWidth="1"/>
    <col min="5383" max="5383" width="11" style="233" customWidth="1"/>
    <col min="5384" max="5384" width="10" style="233" customWidth="1"/>
    <col min="5385" max="5386" width="10.33203125" style="233" customWidth="1"/>
    <col min="5387" max="5388" width="10" style="233" customWidth="1"/>
    <col min="5389" max="5392" width="9" style="233" bestFit="1" customWidth="1"/>
    <col min="5393" max="5393" width="3.44140625" style="233" customWidth="1"/>
    <col min="5394" max="5394" width="6.77734375" style="233" customWidth="1"/>
    <col min="5395" max="5395" width="55.44140625" style="233" customWidth="1"/>
    <col min="5396" max="5633" width="8.77734375" style="233"/>
    <col min="5634" max="5634" width="53.77734375" style="233" bestFit="1" customWidth="1"/>
    <col min="5635" max="5635" width="2.109375" style="233" customWidth="1"/>
    <col min="5636" max="5636" width="10" style="233" bestFit="1" customWidth="1"/>
    <col min="5637" max="5637" width="9.44140625" style="233" bestFit="1" customWidth="1"/>
    <col min="5638" max="5638" width="10" style="233" customWidth="1"/>
    <col min="5639" max="5639" width="11" style="233" customWidth="1"/>
    <col min="5640" max="5640" width="10" style="233" customWidth="1"/>
    <col min="5641" max="5642" width="10.33203125" style="233" customWidth="1"/>
    <col min="5643" max="5644" width="10" style="233" customWidth="1"/>
    <col min="5645" max="5648" width="9" style="233" bestFit="1" customWidth="1"/>
    <col min="5649" max="5649" width="3.44140625" style="233" customWidth="1"/>
    <col min="5650" max="5650" width="6.77734375" style="233" customWidth="1"/>
    <col min="5651" max="5651" width="55.44140625" style="233" customWidth="1"/>
    <col min="5652" max="5889" width="8.77734375" style="233"/>
    <col min="5890" max="5890" width="53.77734375" style="233" bestFit="1" customWidth="1"/>
    <col min="5891" max="5891" width="2.109375" style="233" customWidth="1"/>
    <col min="5892" max="5892" width="10" style="233" bestFit="1" customWidth="1"/>
    <col min="5893" max="5893" width="9.44140625" style="233" bestFit="1" customWidth="1"/>
    <col min="5894" max="5894" width="10" style="233" customWidth="1"/>
    <col min="5895" max="5895" width="11" style="233" customWidth="1"/>
    <col min="5896" max="5896" width="10" style="233" customWidth="1"/>
    <col min="5897" max="5898" width="10.33203125" style="233" customWidth="1"/>
    <col min="5899" max="5900" width="10" style="233" customWidth="1"/>
    <col min="5901" max="5904" width="9" style="233" bestFit="1" customWidth="1"/>
    <col min="5905" max="5905" width="3.44140625" style="233" customWidth="1"/>
    <col min="5906" max="5906" width="6.77734375" style="233" customWidth="1"/>
    <col min="5907" max="5907" width="55.44140625" style="233" customWidth="1"/>
    <col min="5908" max="6145" width="8.77734375" style="233"/>
    <col min="6146" max="6146" width="53.77734375" style="233" bestFit="1" customWidth="1"/>
    <col min="6147" max="6147" width="2.109375" style="233" customWidth="1"/>
    <col min="6148" max="6148" width="10" style="233" bestFit="1" customWidth="1"/>
    <col min="6149" max="6149" width="9.44140625" style="233" bestFit="1" customWidth="1"/>
    <col min="6150" max="6150" width="10" style="233" customWidth="1"/>
    <col min="6151" max="6151" width="11" style="233" customWidth="1"/>
    <col min="6152" max="6152" width="10" style="233" customWidth="1"/>
    <col min="6153" max="6154" width="10.33203125" style="233" customWidth="1"/>
    <col min="6155" max="6156" width="10" style="233" customWidth="1"/>
    <col min="6157" max="6160" width="9" style="233" bestFit="1" customWidth="1"/>
    <col min="6161" max="6161" width="3.44140625" style="233" customWidth="1"/>
    <col min="6162" max="6162" width="6.77734375" style="233" customWidth="1"/>
    <col min="6163" max="6163" width="55.44140625" style="233" customWidth="1"/>
    <col min="6164" max="6401" width="8.77734375" style="233"/>
    <col min="6402" max="6402" width="53.77734375" style="233" bestFit="1" customWidth="1"/>
    <col min="6403" max="6403" width="2.109375" style="233" customWidth="1"/>
    <col min="6404" max="6404" width="10" style="233" bestFit="1" customWidth="1"/>
    <col min="6405" max="6405" width="9.44140625" style="233" bestFit="1" customWidth="1"/>
    <col min="6406" max="6406" width="10" style="233" customWidth="1"/>
    <col min="6407" max="6407" width="11" style="233" customWidth="1"/>
    <col min="6408" max="6408" width="10" style="233" customWidth="1"/>
    <col min="6409" max="6410" width="10.33203125" style="233" customWidth="1"/>
    <col min="6411" max="6412" width="10" style="233" customWidth="1"/>
    <col min="6413" max="6416" width="9" style="233" bestFit="1" customWidth="1"/>
    <col min="6417" max="6417" width="3.44140625" style="233" customWidth="1"/>
    <col min="6418" max="6418" width="6.77734375" style="233" customWidth="1"/>
    <col min="6419" max="6419" width="55.44140625" style="233" customWidth="1"/>
    <col min="6420" max="6657" width="8.77734375" style="233"/>
    <col min="6658" max="6658" width="53.77734375" style="233" bestFit="1" customWidth="1"/>
    <col min="6659" max="6659" width="2.109375" style="233" customWidth="1"/>
    <col min="6660" max="6660" width="10" style="233" bestFit="1" customWidth="1"/>
    <col min="6661" max="6661" width="9.44140625" style="233" bestFit="1" customWidth="1"/>
    <col min="6662" max="6662" width="10" style="233" customWidth="1"/>
    <col min="6663" max="6663" width="11" style="233" customWidth="1"/>
    <col min="6664" max="6664" width="10" style="233" customWidth="1"/>
    <col min="6665" max="6666" width="10.33203125" style="233" customWidth="1"/>
    <col min="6667" max="6668" width="10" style="233" customWidth="1"/>
    <col min="6669" max="6672" width="9" style="233" bestFit="1" customWidth="1"/>
    <col min="6673" max="6673" width="3.44140625" style="233" customWidth="1"/>
    <col min="6674" max="6674" width="6.77734375" style="233" customWidth="1"/>
    <col min="6675" max="6675" width="55.44140625" style="233" customWidth="1"/>
    <col min="6676" max="6913" width="8.77734375" style="233"/>
    <col min="6914" max="6914" width="53.77734375" style="233" bestFit="1" customWidth="1"/>
    <col min="6915" max="6915" width="2.109375" style="233" customWidth="1"/>
    <col min="6916" max="6916" width="10" style="233" bestFit="1" customWidth="1"/>
    <col min="6917" max="6917" width="9.44140625" style="233" bestFit="1" customWidth="1"/>
    <col min="6918" max="6918" width="10" style="233" customWidth="1"/>
    <col min="6919" max="6919" width="11" style="233" customWidth="1"/>
    <col min="6920" max="6920" width="10" style="233" customWidth="1"/>
    <col min="6921" max="6922" width="10.33203125" style="233" customWidth="1"/>
    <col min="6923" max="6924" width="10" style="233" customWidth="1"/>
    <col min="6925" max="6928" width="9" style="233" bestFit="1" customWidth="1"/>
    <col min="6929" max="6929" width="3.44140625" style="233" customWidth="1"/>
    <col min="6930" max="6930" width="6.77734375" style="233" customWidth="1"/>
    <col min="6931" max="6931" width="55.44140625" style="233" customWidth="1"/>
    <col min="6932" max="7169" width="8.77734375" style="233"/>
    <col min="7170" max="7170" width="53.77734375" style="233" bestFit="1" customWidth="1"/>
    <col min="7171" max="7171" width="2.109375" style="233" customWidth="1"/>
    <col min="7172" max="7172" width="10" style="233" bestFit="1" customWidth="1"/>
    <col min="7173" max="7173" width="9.44140625" style="233" bestFit="1" customWidth="1"/>
    <col min="7174" max="7174" width="10" style="233" customWidth="1"/>
    <col min="7175" max="7175" width="11" style="233" customWidth="1"/>
    <col min="7176" max="7176" width="10" style="233" customWidth="1"/>
    <col min="7177" max="7178" width="10.33203125" style="233" customWidth="1"/>
    <col min="7179" max="7180" width="10" style="233" customWidth="1"/>
    <col min="7181" max="7184" width="9" style="233" bestFit="1" customWidth="1"/>
    <col min="7185" max="7185" width="3.44140625" style="233" customWidth="1"/>
    <col min="7186" max="7186" width="6.77734375" style="233" customWidth="1"/>
    <col min="7187" max="7187" width="55.44140625" style="233" customWidth="1"/>
    <col min="7188" max="7425" width="8.77734375" style="233"/>
    <col min="7426" max="7426" width="53.77734375" style="233" bestFit="1" customWidth="1"/>
    <col min="7427" max="7427" width="2.109375" style="233" customWidth="1"/>
    <col min="7428" max="7428" width="10" style="233" bestFit="1" customWidth="1"/>
    <col min="7429" max="7429" width="9.44140625" style="233" bestFit="1" customWidth="1"/>
    <col min="7430" max="7430" width="10" style="233" customWidth="1"/>
    <col min="7431" max="7431" width="11" style="233" customWidth="1"/>
    <col min="7432" max="7432" width="10" style="233" customWidth="1"/>
    <col min="7433" max="7434" width="10.33203125" style="233" customWidth="1"/>
    <col min="7435" max="7436" width="10" style="233" customWidth="1"/>
    <col min="7437" max="7440" width="9" style="233" bestFit="1" customWidth="1"/>
    <col min="7441" max="7441" width="3.44140625" style="233" customWidth="1"/>
    <col min="7442" max="7442" width="6.77734375" style="233" customWidth="1"/>
    <col min="7443" max="7443" width="55.44140625" style="233" customWidth="1"/>
    <col min="7444" max="7681" width="8.77734375" style="233"/>
    <col min="7682" max="7682" width="53.77734375" style="233" bestFit="1" customWidth="1"/>
    <col min="7683" max="7683" width="2.109375" style="233" customWidth="1"/>
    <col min="7684" max="7684" width="10" style="233" bestFit="1" customWidth="1"/>
    <col min="7685" max="7685" width="9.44140625" style="233" bestFit="1" customWidth="1"/>
    <col min="7686" max="7686" width="10" style="233" customWidth="1"/>
    <col min="7687" max="7687" width="11" style="233" customWidth="1"/>
    <col min="7688" max="7688" width="10" style="233" customWidth="1"/>
    <col min="7689" max="7690" width="10.33203125" style="233" customWidth="1"/>
    <col min="7691" max="7692" width="10" style="233" customWidth="1"/>
    <col min="7693" max="7696" width="9" style="233" bestFit="1" customWidth="1"/>
    <col min="7697" max="7697" width="3.44140625" style="233" customWidth="1"/>
    <col min="7698" max="7698" width="6.77734375" style="233" customWidth="1"/>
    <col min="7699" max="7699" width="55.44140625" style="233" customWidth="1"/>
    <col min="7700" max="7937" width="8.77734375" style="233"/>
    <col min="7938" max="7938" width="53.77734375" style="233" bestFit="1" customWidth="1"/>
    <col min="7939" max="7939" width="2.109375" style="233" customWidth="1"/>
    <col min="7940" max="7940" width="10" style="233" bestFit="1" customWidth="1"/>
    <col min="7941" max="7941" width="9.44140625" style="233" bestFit="1" customWidth="1"/>
    <col min="7942" max="7942" width="10" style="233" customWidth="1"/>
    <col min="7943" max="7943" width="11" style="233" customWidth="1"/>
    <col min="7944" max="7944" width="10" style="233" customWidth="1"/>
    <col min="7945" max="7946" width="10.33203125" style="233" customWidth="1"/>
    <col min="7947" max="7948" width="10" style="233" customWidth="1"/>
    <col min="7949" max="7952" width="9" style="233" bestFit="1" customWidth="1"/>
    <col min="7953" max="7953" width="3.44140625" style="233" customWidth="1"/>
    <col min="7954" max="7954" width="6.77734375" style="233" customWidth="1"/>
    <col min="7955" max="7955" width="55.44140625" style="233" customWidth="1"/>
    <col min="7956" max="8193" width="8.77734375" style="233"/>
    <col min="8194" max="8194" width="53.77734375" style="233" bestFit="1" customWidth="1"/>
    <col min="8195" max="8195" width="2.109375" style="233" customWidth="1"/>
    <col min="8196" max="8196" width="10" style="233" bestFit="1" customWidth="1"/>
    <col min="8197" max="8197" width="9.44140625" style="233" bestFit="1" customWidth="1"/>
    <col min="8198" max="8198" width="10" style="233" customWidth="1"/>
    <col min="8199" max="8199" width="11" style="233" customWidth="1"/>
    <col min="8200" max="8200" width="10" style="233" customWidth="1"/>
    <col min="8201" max="8202" width="10.33203125" style="233" customWidth="1"/>
    <col min="8203" max="8204" width="10" style="233" customWidth="1"/>
    <col min="8205" max="8208" width="9" style="233" bestFit="1" customWidth="1"/>
    <col min="8209" max="8209" width="3.44140625" style="233" customWidth="1"/>
    <col min="8210" max="8210" width="6.77734375" style="233" customWidth="1"/>
    <col min="8211" max="8211" width="55.44140625" style="233" customWidth="1"/>
    <col min="8212" max="8449" width="8.77734375" style="233"/>
    <col min="8450" max="8450" width="53.77734375" style="233" bestFit="1" customWidth="1"/>
    <col min="8451" max="8451" width="2.109375" style="233" customWidth="1"/>
    <col min="8452" max="8452" width="10" style="233" bestFit="1" customWidth="1"/>
    <col min="8453" max="8453" width="9.44140625" style="233" bestFit="1" customWidth="1"/>
    <col min="8454" max="8454" width="10" style="233" customWidth="1"/>
    <col min="8455" max="8455" width="11" style="233" customWidth="1"/>
    <col min="8456" max="8456" width="10" style="233" customWidth="1"/>
    <col min="8457" max="8458" width="10.33203125" style="233" customWidth="1"/>
    <col min="8459" max="8460" width="10" style="233" customWidth="1"/>
    <col min="8461" max="8464" width="9" style="233" bestFit="1" customWidth="1"/>
    <col min="8465" max="8465" width="3.44140625" style="233" customWidth="1"/>
    <col min="8466" max="8466" width="6.77734375" style="233" customWidth="1"/>
    <col min="8467" max="8467" width="55.44140625" style="233" customWidth="1"/>
    <col min="8468" max="8705" width="8.77734375" style="233"/>
    <col min="8706" max="8706" width="53.77734375" style="233" bestFit="1" customWidth="1"/>
    <col min="8707" max="8707" width="2.109375" style="233" customWidth="1"/>
    <col min="8708" max="8708" width="10" style="233" bestFit="1" customWidth="1"/>
    <col min="8709" max="8709" width="9.44140625" style="233" bestFit="1" customWidth="1"/>
    <col min="8710" max="8710" width="10" style="233" customWidth="1"/>
    <col min="8711" max="8711" width="11" style="233" customWidth="1"/>
    <col min="8712" max="8712" width="10" style="233" customWidth="1"/>
    <col min="8713" max="8714" width="10.33203125" style="233" customWidth="1"/>
    <col min="8715" max="8716" width="10" style="233" customWidth="1"/>
    <col min="8717" max="8720" width="9" style="233" bestFit="1" customWidth="1"/>
    <col min="8721" max="8721" width="3.44140625" style="233" customWidth="1"/>
    <col min="8722" max="8722" width="6.77734375" style="233" customWidth="1"/>
    <col min="8723" max="8723" width="55.44140625" style="233" customWidth="1"/>
    <col min="8724" max="8961" width="8.77734375" style="233"/>
    <col min="8962" max="8962" width="53.77734375" style="233" bestFit="1" customWidth="1"/>
    <col min="8963" max="8963" width="2.109375" style="233" customWidth="1"/>
    <col min="8964" max="8964" width="10" style="233" bestFit="1" customWidth="1"/>
    <col min="8965" max="8965" width="9.44140625" style="233" bestFit="1" customWidth="1"/>
    <col min="8966" max="8966" width="10" style="233" customWidth="1"/>
    <col min="8967" max="8967" width="11" style="233" customWidth="1"/>
    <col min="8968" max="8968" width="10" style="233" customWidth="1"/>
    <col min="8969" max="8970" width="10.33203125" style="233" customWidth="1"/>
    <col min="8971" max="8972" width="10" style="233" customWidth="1"/>
    <col min="8973" max="8976" width="9" style="233" bestFit="1" customWidth="1"/>
    <col min="8977" max="8977" width="3.44140625" style="233" customWidth="1"/>
    <col min="8978" max="8978" width="6.77734375" style="233" customWidth="1"/>
    <col min="8979" max="8979" width="55.44140625" style="233" customWidth="1"/>
    <col min="8980" max="9217" width="8.77734375" style="233"/>
    <col min="9218" max="9218" width="53.77734375" style="233" bestFit="1" customWidth="1"/>
    <col min="9219" max="9219" width="2.109375" style="233" customWidth="1"/>
    <col min="9220" max="9220" width="10" style="233" bestFit="1" customWidth="1"/>
    <col min="9221" max="9221" width="9.44140625" style="233" bestFit="1" customWidth="1"/>
    <col min="9222" max="9222" width="10" style="233" customWidth="1"/>
    <col min="9223" max="9223" width="11" style="233" customWidth="1"/>
    <col min="9224" max="9224" width="10" style="233" customWidth="1"/>
    <col min="9225" max="9226" width="10.33203125" style="233" customWidth="1"/>
    <col min="9227" max="9228" width="10" style="233" customWidth="1"/>
    <col min="9229" max="9232" width="9" style="233" bestFit="1" customWidth="1"/>
    <col min="9233" max="9233" width="3.44140625" style="233" customWidth="1"/>
    <col min="9234" max="9234" width="6.77734375" style="233" customWidth="1"/>
    <col min="9235" max="9235" width="55.44140625" style="233" customWidth="1"/>
    <col min="9236" max="9473" width="8.77734375" style="233"/>
    <col min="9474" max="9474" width="53.77734375" style="233" bestFit="1" customWidth="1"/>
    <col min="9475" max="9475" width="2.109375" style="233" customWidth="1"/>
    <col min="9476" max="9476" width="10" style="233" bestFit="1" customWidth="1"/>
    <col min="9477" max="9477" width="9.44140625" style="233" bestFit="1" customWidth="1"/>
    <col min="9478" max="9478" width="10" style="233" customWidth="1"/>
    <col min="9479" max="9479" width="11" style="233" customWidth="1"/>
    <col min="9480" max="9480" width="10" style="233" customWidth="1"/>
    <col min="9481" max="9482" width="10.33203125" style="233" customWidth="1"/>
    <col min="9483" max="9484" width="10" style="233" customWidth="1"/>
    <col min="9485" max="9488" width="9" style="233" bestFit="1" customWidth="1"/>
    <col min="9489" max="9489" width="3.44140625" style="233" customWidth="1"/>
    <col min="9490" max="9490" width="6.77734375" style="233" customWidth="1"/>
    <col min="9491" max="9491" width="55.44140625" style="233" customWidth="1"/>
    <col min="9492" max="9729" width="8.77734375" style="233"/>
    <col min="9730" max="9730" width="53.77734375" style="233" bestFit="1" customWidth="1"/>
    <col min="9731" max="9731" width="2.109375" style="233" customWidth="1"/>
    <col min="9732" max="9732" width="10" style="233" bestFit="1" customWidth="1"/>
    <col min="9733" max="9733" width="9.44140625" style="233" bestFit="1" customWidth="1"/>
    <col min="9734" max="9734" width="10" style="233" customWidth="1"/>
    <col min="9735" max="9735" width="11" style="233" customWidth="1"/>
    <col min="9736" max="9736" width="10" style="233" customWidth="1"/>
    <col min="9737" max="9738" width="10.33203125" style="233" customWidth="1"/>
    <col min="9739" max="9740" width="10" style="233" customWidth="1"/>
    <col min="9741" max="9744" width="9" style="233" bestFit="1" customWidth="1"/>
    <col min="9745" max="9745" width="3.44140625" style="233" customWidth="1"/>
    <col min="9746" max="9746" width="6.77734375" style="233" customWidth="1"/>
    <col min="9747" max="9747" width="55.44140625" style="233" customWidth="1"/>
    <col min="9748" max="9985" width="8.77734375" style="233"/>
    <col min="9986" max="9986" width="53.77734375" style="233" bestFit="1" customWidth="1"/>
    <col min="9987" max="9987" width="2.109375" style="233" customWidth="1"/>
    <col min="9988" max="9988" width="10" style="233" bestFit="1" customWidth="1"/>
    <col min="9989" max="9989" width="9.44140625" style="233" bestFit="1" customWidth="1"/>
    <col min="9990" max="9990" width="10" style="233" customWidth="1"/>
    <col min="9991" max="9991" width="11" style="233" customWidth="1"/>
    <col min="9992" max="9992" width="10" style="233" customWidth="1"/>
    <col min="9993" max="9994" width="10.33203125" style="233" customWidth="1"/>
    <col min="9995" max="9996" width="10" style="233" customWidth="1"/>
    <col min="9997" max="10000" width="9" style="233" bestFit="1" customWidth="1"/>
    <col min="10001" max="10001" width="3.44140625" style="233" customWidth="1"/>
    <col min="10002" max="10002" width="6.77734375" style="233" customWidth="1"/>
    <col min="10003" max="10003" width="55.44140625" style="233" customWidth="1"/>
    <col min="10004" max="10241" width="8.77734375" style="233"/>
    <col min="10242" max="10242" width="53.77734375" style="233" bestFit="1" customWidth="1"/>
    <col min="10243" max="10243" width="2.109375" style="233" customWidth="1"/>
    <col min="10244" max="10244" width="10" style="233" bestFit="1" customWidth="1"/>
    <col min="10245" max="10245" width="9.44140625" style="233" bestFit="1" customWidth="1"/>
    <col min="10246" max="10246" width="10" style="233" customWidth="1"/>
    <col min="10247" max="10247" width="11" style="233" customWidth="1"/>
    <col min="10248" max="10248" width="10" style="233" customWidth="1"/>
    <col min="10249" max="10250" width="10.33203125" style="233" customWidth="1"/>
    <col min="10251" max="10252" width="10" style="233" customWidth="1"/>
    <col min="10253" max="10256" width="9" style="233" bestFit="1" customWidth="1"/>
    <col min="10257" max="10257" width="3.44140625" style="233" customWidth="1"/>
    <col min="10258" max="10258" width="6.77734375" style="233" customWidth="1"/>
    <col min="10259" max="10259" width="55.44140625" style="233" customWidth="1"/>
    <col min="10260" max="10497" width="8.77734375" style="233"/>
    <col min="10498" max="10498" width="53.77734375" style="233" bestFit="1" customWidth="1"/>
    <col min="10499" max="10499" width="2.109375" style="233" customWidth="1"/>
    <col min="10500" max="10500" width="10" style="233" bestFit="1" customWidth="1"/>
    <col min="10501" max="10501" width="9.44140625" style="233" bestFit="1" customWidth="1"/>
    <col min="10502" max="10502" width="10" style="233" customWidth="1"/>
    <col min="10503" max="10503" width="11" style="233" customWidth="1"/>
    <col min="10504" max="10504" width="10" style="233" customWidth="1"/>
    <col min="10505" max="10506" width="10.33203125" style="233" customWidth="1"/>
    <col min="10507" max="10508" width="10" style="233" customWidth="1"/>
    <col min="10509" max="10512" width="9" style="233" bestFit="1" customWidth="1"/>
    <col min="10513" max="10513" width="3.44140625" style="233" customWidth="1"/>
    <col min="10514" max="10514" width="6.77734375" style="233" customWidth="1"/>
    <col min="10515" max="10515" width="55.44140625" style="233" customWidth="1"/>
    <col min="10516" max="10753" width="8.77734375" style="233"/>
    <col min="10754" max="10754" width="53.77734375" style="233" bestFit="1" customWidth="1"/>
    <col min="10755" max="10755" width="2.109375" style="233" customWidth="1"/>
    <col min="10756" max="10756" width="10" style="233" bestFit="1" customWidth="1"/>
    <col min="10757" max="10757" width="9.44140625" style="233" bestFit="1" customWidth="1"/>
    <col min="10758" max="10758" width="10" style="233" customWidth="1"/>
    <col min="10759" max="10759" width="11" style="233" customWidth="1"/>
    <col min="10760" max="10760" width="10" style="233" customWidth="1"/>
    <col min="10761" max="10762" width="10.33203125" style="233" customWidth="1"/>
    <col min="10763" max="10764" width="10" style="233" customWidth="1"/>
    <col min="10765" max="10768" width="9" style="233" bestFit="1" customWidth="1"/>
    <col min="10769" max="10769" width="3.44140625" style="233" customWidth="1"/>
    <col min="10770" max="10770" width="6.77734375" style="233" customWidth="1"/>
    <col min="10771" max="10771" width="55.44140625" style="233" customWidth="1"/>
    <col min="10772" max="11009" width="8.77734375" style="233"/>
    <col min="11010" max="11010" width="53.77734375" style="233" bestFit="1" customWidth="1"/>
    <col min="11011" max="11011" width="2.109375" style="233" customWidth="1"/>
    <col min="11012" max="11012" width="10" style="233" bestFit="1" customWidth="1"/>
    <col min="11013" max="11013" width="9.44140625" style="233" bestFit="1" customWidth="1"/>
    <col min="11014" max="11014" width="10" style="233" customWidth="1"/>
    <col min="11015" max="11015" width="11" style="233" customWidth="1"/>
    <col min="11016" max="11016" width="10" style="233" customWidth="1"/>
    <col min="11017" max="11018" width="10.33203125" style="233" customWidth="1"/>
    <col min="11019" max="11020" width="10" style="233" customWidth="1"/>
    <col min="11021" max="11024" width="9" style="233" bestFit="1" customWidth="1"/>
    <col min="11025" max="11025" width="3.44140625" style="233" customWidth="1"/>
    <col min="11026" max="11026" width="6.77734375" style="233" customWidth="1"/>
    <col min="11027" max="11027" width="55.44140625" style="233" customWidth="1"/>
    <col min="11028" max="11265" width="8.77734375" style="233"/>
    <col min="11266" max="11266" width="53.77734375" style="233" bestFit="1" customWidth="1"/>
    <col min="11267" max="11267" width="2.109375" style="233" customWidth="1"/>
    <col min="11268" max="11268" width="10" style="233" bestFit="1" customWidth="1"/>
    <col min="11269" max="11269" width="9.44140625" style="233" bestFit="1" customWidth="1"/>
    <col min="11270" max="11270" width="10" style="233" customWidth="1"/>
    <col min="11271" max="11271" width="11" style="233" customWidth="1"/>
    <col min="11272" max="11272" width="10" style="233" customWidth="1"/>
    <col min="11273" max="11274" width="10.33203125" style="233" customWidth="1"/>
    <col min="11275" max="11276" width="10" style="233" customWidth="1"/>
    <col min="11277" max="11280" width="9" style="233" bestFit="1" customWidth="1"/>
    <col min="11281" max="11281" width="3.44140625" style="233" customWidth="1"/>
    <col min="11282" max="11282" width="6.77734375" style="233" customWidth="1"/>
    <col min="11283" max="11283" width="55.44140625" style="233" customWidth="1"/>
    <col min="11284" max="11521" width="8.77734375" style="233"/>
    <col min="11522" max="11522" width="53.77734375" style="233" bestFit="1" customWidth="1"/>
    <col min="11523" max="11523" width="2.109375" style="233" customWidth="1"/>
    <col min="11524" max="11524" width="10" style="233" bestFit="1" customWidth="1"/>
    <col min="11525" max="11525" width="9.44140625" style="233" bestFit="1" customWidth="1"/>
    <col min="11526" max="11526" width="10" style="233" customWidth="1"/>
    <col min="11527" max="11527" width="11" style="233" customWidth="1"/>
    <col min="11528" max="11528" width="10" style="233" customWidth="1"/>
    <col min="11529" max="11530" width="10.33203125" style="233" customWidth="1"/>
    <col min="11531" max="11532" width="10" style="233" customWidth="1"/>
    <col min="11533" max="11536" width="9" style="233" bestFit="1" customWidth="1"/>
    <col min="11537" max="11537" width="3.44140625" style="233" customWidth="1"/>
    <col min="11538" max="11538" width="6.77734375" style="233" customWidth="1"/>
    <col min="11539" max="11539" width="55.44140625" style="233" customWidth="1"/>
    <col min="11540" max="11777" width="8.77734375" style="233"/>
    <col min="11778" max="11778" width="53.77734375" style="233" bestFit="1" customWidth="1"/>
    <col min="11779" max="11779" width="2.109375" style="233" customWidth="1"/>
    <col min="11780" max="11780" width="10" style="233" bestFit="1" customWidth="1"/>
    <col min="11781" max="11781" width="9.44140625" style="233" bestFit="1" customWidth="1"/>
    <col min="11782" max="11782" width="10" style="233" customWidth="1"/>
    <col min="11783" max="11783" width="11" style="233" customWidth="1"/>
    <col min="11784" max="11784" width="10" style="233" customWidth="1"/>
    <col min="11785" max="11786" width="10.33203125" style="233" customWidth="1"/>
    <col min="11787" max="11788" width="10" style="233" customWidth="1"/>
    <col min="11789" max="11792" width="9" style="233" bestFit="1" customWidth="1"/>
    <col min="11793" max="11793" width="3.44140625" style="233" customWidth="1"/>
    <col min="11794" max="11794" width="6.77734375" style="233" customWidth="1"/>
    <col min="11795" max="11795" width="55.44140625" style="233" customWidth="1"/>
    <col min="11796" max="12033" width="8.77734375" style="233"/>
    <col min="12034" max="12034" width="53.77734375" style="233" bestFit="1" customWidth="1"/>
    <col min="12035" max="12035" width="2.109375" style="233" customWidth="1"/>
    <col min="12036" max="12036" width="10" style="233" bestFit="1" customWidth="1"/>
    <col min="12037" max="12037" width="9.44140625" style="233" bestFit="1" customWidth="1"/>
    <col min="12038" max="12038" width="10" style="233" customWidth="1"/>
    <col min="12039" max="12039" width="11" style="233" customWidth="1"/>
    <col min="12040" max="12040" width="10" style="233" customWidth="1"/>
    <col min="12041" max="12042" width="10.33203125" style="233" customWidth="1"/>
    <col min="12043" max="12044" width="10" style="233" customWidth="1"/>
    <col min="12045" max="12048" width="9" style="233" bestFit="1" customWidth="1"/>
    <col min="12049" max="12049" width="3.44140625" style="233" customWidth="1"/>
    <col min="12050" max="12050" width="6.77734375" style="233" customWidth="1"/>
    <col min="12051" max="12051" width="55.44140625" style="233" customWidth="1"/>
    <col min="12052" max="12289" width="8.77734375" style="233"/>
    <col min="12290" max="12290" width="53.77734375" style="233" bestFit="1" customWidth="1"/>
    <col min="12291" max="12291" width="2.109375" style="233" customWidth="1"/>
    <col min="12292" max="12292" width="10" style="233" bestFit="1" customWidth="1"/>
    <col min="12293" max="12293" width="9.44140625" style="233" bestFit="1" customWidth="1"/>
    <col min="12294" max="12294" width="10" style="233" customWidth="1"/>
    <col min="12295" max="12295" width="11" style="233" customWidth="1"/>
    <col min="12296" max="12296" width="10" style="233" customWidth="1"/>
    <col min="12297" max="12298" width="10.33203125" style="233" customWidth="1"/>
    <col min="12299" max="12300" width="10" style="233" customWidth="1"/>
    <col min="12301" max="12304" width="9" style="233" bestFit="1" customWidth="1"/>
    <col min="12305" max="12305" width="3.44140625" style="233" customWidth="1"/>
    <col min="12306" max="12306" width="6.77734375" style="233" customWidth="1"/>
    <col min="12307" max="12307" width="55.44140625" style="233" customWidth="1"/>
    <col min="12308" max="12545" width="8.77734375" style="233"/>
    <col min="12546" max="12546" width="53.77734375" style="233" bestFit="1" customWidth="1"/>
    <col min="12547" max="12547" width="2.109375" style="233" customWidth="1"/>
    <col min="12548" max="12548" width="10" style="233" bestFit="1" customWidth="1"/>
    <col min="12549" max="12549" width="9.44140625" style="233" bestFit="1" customWidth="1"/>
    <col min="12550" max="12550" width="10" style="233" customWidth="1"/>
    <col min="12551" max="12551" width="11" style="233" customWidth="1"/>
    <col min="12552" max="12552" width="10" style="233" customWidth="1"/>
    <col min="12553" max="12554" width="10.33203125" style="233" customWidth="1"/>
    <col min="12555" max="12556" width="10" style="233" customWidth="1"/>
    <col min="12557" max="12560" width="9" style="233" bestFit="1" customWidth="1"/>
    <col min="12561" max="12561" width="3.44140625" style="233" customWidth="1"/>
    <col min="12562" max="12562" width="6.77734375" style="233" customWidth="1"/>
    <col min="12563" max="12563" width="55.44140625" style="233" customWidth="1"/>
    <col min="12564" max="12801" width="8.77734375" style="233"/>
    <col min="12802" max="12802" width="53.77734375" style="233" bestFit="1" customWidth="1"/>
    <col min="12803" max="12803" width="2.109375" style="233" customWidth="1"/>
    <col min="12804" max="12804" width="10" style="233" bestFit="1" customWidth="1"/>
    <col min="12805" max="12805" width="9.44140625" style="233" bestFit="1" customWidth="1"/>
    <col min="12806" max="12806" width="10" style="233" customWidth="1"/>
    <col min="12807" max="12807" width="11" style="233" customWidth="1"/>
    <col min="12808" max="12808" width="10" style="233" customWidth="1"/>
    <col min="12809" max="12810" width="10.33203125" style="233" customWidth="1"/>
    <col min="12811" max="12812" width="10" style="233" customWidth="1"/>
    <col min="12813" max="12816" width="9" style="233" bestFit="1" customWidth="1"/>
    <col min="12817" max="12817" width="3.44140625" style="233" customWidth="1"/>
    <col min="12818" max="12818" width="6.77734375" style="233" customWidth="1"/>
    <col min="12819" max="12819" width="55.44140625" style="233" customWidth="1"/>
    <col min="12820" max="13057" width="8.77734375" style="233"/>
    <col min="13058" max="13058" width="53.77734375" style="233" bestFit="1" customWidth="1"/>
    <col min="13059" max="13059" width="2.109375" style="233" customWidth="1"/>
    <col min="13060" max="13060" width="10" style="233" bestFit="1" customWidth="1"/>
    <col min="13061" max="13061" width="9.44140625" style="233" bestFit="1" customWidth="1"/>
    <col min="13062" max="13062" width="10" style="233" customWidth="1"/>
    <col min="13063" max="13063" width="11" style="233" customWidth="1"/>
    <col min="13064" max="13064" width="10" style="233" customWidth="1"/>
    <col min="13065" max="13066" width="10.33203125" style="233" customWidth="1"/>
    <col min="13067" max="13068" width="10" style="233" customWidth="1"/>
    <col min="13069" max="13072" width="9" style="233" bestFit="1" customWidth="1"/>
    <col min="13073" max="13073" width="3.44140625" style="233" customWidth="1"/>
    <col min="13074" max="13074" width="6.77734375" style="233" customWidth="1"/>
    <col min="13075" max="13075" width="55.44140625" style="233" customWidth="1"/>
    <col min="13076" max="13313" width="8.77734375" style="233"/>
    <col min="13314" max="13314" width="53.77734375" style="233" bestFit="1" customWidth="1"/>
    <col min="13315" max="13315" width="2.109375" style="233" customWidth="1"/>
    <col min="13316" max="13316" width="10" style="233" bestFit="1" customWidth="1"/>
    <col min="13317" max="13317" width="9.44140625" style="233" bestFit="1" customWidth="1"/>
    <col min="13318" max="13318" width="10" style="233" customWidth="1"/>
    <col min="13319" max="13319" width="11" style="233" customWidth="1"/>
    <col min="13320" max="13320" width="10" style="233" customWidth="1"/>
    <col min="13321" max="13322" width="10.33203125" style="233" customWidth="1"/>
    <col min="13323" max="13324" width="10" style="233" customWidth="1"/>
    <col min="13325" max="13328" width="9" style="233" bestFit="1" customWidth="1"/>
    <col min="13329" max="13329" width="3.44140625" style="233" customWidth="1"/>
    <col min="13330" max="13330" width="6.77734375" style="233" customWidth="1"/>
    <col min="13331" max="13331" width="55.44140625" style="233" customWidth="1"/>
    <col min="13332" max="13569" width="8.77734375" style="233"/>
    <col min="13570" max="13570" width="53.77734375" style="233" bestFit="1" customWidth="1"/>
    <col min="13571" max="13571" width="2.109375" style="233" customWidth="1"/>
    <col min="13572" max="13572" width="10" style="233" bestFit="1" customWidth="1"/>
    <col min="13573" max="13573" width="9.44140625" style="233" bestFit="1" customWidth="1"/>
    <col min="13574" max="13574" width="10" style="233" customWidth="1"/>
    <col min="13575" max="13575" width="11" style="233" customWidth="1"/>
    <col min="13576" max="13576" width="10" style="233" customWidth="1"/>
    <col min="13577" max="13578" width="10.33203125" style="233" customWidth="1"/>
    <col min="13579" max="13580" width="10" style="233" customWidth="1"/>
    <col min="13581" max="13584" width="9" style="233" bestFit="1" customWidth="1"/>
    <col min="13585" max="13585" width="3.44140625" style="233" customWidth="1"/>
    <col min="13586" max="13586" width="6.77734375" style="233" customWidth="1"/>
    <col min="13587" max="13587" width="55.44140625" style="233" customWidth="1"/>
    <col min="13588" max="13825" width="8.77734375" style="233"/>
    <col min="13826" max="13826" width="53.77734375" style="233" bestFit="1" customWidth="1"/>
    <col min="13827" max="13827" width="2.109375" style="233" customWidth="1"/>
    <col min="13828" max="13828" width="10" style="233" bestFit="1" customWidth="1"/>
    <col min="13829" max="13829" width="9.44140625" style="233" bestFit="1" customWidth="1"/>
    <col min="13830" max="13830" width="10" style="233" customWidth="1"/>
    <col min="13831" max="13831" width="11" style="233" customWidth="1"/>
    <col min="13832" max="13832" width="10" style="233" customWidth="1"/>
    <col min="13833" max="13834" width="10.33203125" style="233" customWidth="1"/>
    <col min="13835" max="13836" width="10" style="233" customWidth="1"/>
    <col min="13837" max="13840" width="9" style="233" bestFit="1" customWidth="1"/>
    <col min="13841" max="13841" width="3.44140625" style="233" customWidth="1"/>
    <col min="13842" max="13842" width="6.77734375" style="233" customWidth="1"/>
    <col min="13843" max="13843" width="55.44140625" style="233" customWidth="1"/>
    <col min="13844" max="14081" width="8.77734375" style="233"/>
    <col min="14082" max="14082" width="53.77734375" style="233" bestFit="1" customWidth="1"/>
    <col min="14083" max="14083" width="2.109375" style="233" customWidth="1"/>
    <col min="14084" max="14084" width="10" style="233" bestFit="1" customWidth="1"/>
    <col min="14085" max="14085" width="9.44140625" style="233" bestFit="1" customWidth="1"/>
    <col min="14086" max="14086" width="10" style="233" customWidth="1"/>
    <col min="14087" max="14087" width="11" style="233" customWidth="1"/>
    <col min="14088" max="14088" width="10" style="233" customWidth="1"/>
    <col min="14089" max="14090" width="10.33203125" style="233" customWidth="1"/>
    <col min="14091" max="14092" width="10" style="233" customWidth="1"/>
    <col min="14093" max="14096" width="9" style="233" bestFit="1" customWidth="1"/>
    <col min="14097" max="14097" width="3.44140625" style="233" customWidth="1"/>
    <col min="14098" max="14098" width="6.77734375" style="233" customWidth="1"/>
    <col min="14099" max="14099" width="55.44140625" style="233" customWidth="1"/>
    <col min="14100" max="14337" width="8.77734375" style="233"/>
    <col min="14338" max="14338" width="53.77734375" style="233" bestFit="1" customWidth="1"/>
    <col min="14339" max="14339" width="2.109375" style="233" customWidth="1"/>
    <col min="14340" max="14340" width="10" style="233" bestFit="1" customWidth="1"/>
    <col min="14341" max="14341" width="9.44140625" style="233" bestFit="1" customWidth="1"/>
    <col min="14342" max="14342" width="10" style="233" customWidth="1"/>
    <col min="14343" max="14343" width="11" style="233" customWidth="1"/>
    <col min="14344" max="14344" width="10" style="233" customWidth="1"/>
    <col min="14345" max="14346" width="10.33203125" style="233" customWidth="1"/>
    <col min="14347" max="14348" width="10" style="233" customWidth="1"/>
    <col min="14349" max="14352" width="9" style="233" bestFit="1" customWidth="1"/>
    <col min="14353" max="14353" width="3.44140625" style="233" customWidth="1"/>
    <col min="14354" max="14354" width="6.77734375" style="233" customWidth="1"/>
    <col min="14355" max="14355" width="55.44140625" style="233" customWidth="1"/>
    <col min="14356" max="14593" width="8.77734375" style="233"/>
    <col min="14594" max="14594" width="53.77734375" style="233" bestFit="1" customWidth="1"/>
    <col min="14595" max="14595" width="2.109375" style="233" customWidth="1"/>
    <col min="14596" max="14596" width="10" style="233" bestFit="1" customWidth="1"/>
    <col min="14597" max="14597" width="9.44140625" style="233" bestFit="1" customWidth="1"/>
    <col min="14598" max="14598" width="10" style="233" customWidth="1"/>
    <col min="14599" max="14599" width="11" style="233" customWidth="1"/>
    <col min="14600" max="14600" width="10" style="233" customWidth="1"/>
    <col min="14601" max="14602" width="10.33203125" style="233" customWidth="1"/>
    <col min="14603" max="14604" width="10" style="233" customWidth="1"/>
    <col min="14605" max="14608" width="9" style="233" bestFit="1" customWidth="1"/>
    <col min="14609" max="14609" width="3.44140625" style="233" customWidth="1"/>
    <col min="14610" max="14610" width="6.77734375" style="233" customWidth="1"/>
    <col min="14611" max="14611" width="55.44140625" style="233" customWidth="1"/>
    <col min="14612" max="14849" width="8.77734375" style="233"/>
    <col min="14850" max="14850" width="53.77734375" style="233" bestFit="1" customWidth="1"/>
    <col min="14851" max="14851" width="2.109375" style="233" customWidth="1"/>
    <col min="14852" max="14852" width="10" style="233" bestFit="1" customWidth="1"/>
    <col min="14853" max="14853" width="9.44140625" style="233" bestFit="1" customWidth="1"/>
    <col min="14854" max="14854" width="10" style="233" customWidth="1"/>
    <col min="14855" max="14855" width="11" style="233" customWidth="1"/>
    <col min="14856" max="14856" width="10" style="233" customWidth="1"/>
    <col min="14857" max="14858" width="10.33203125" style="233" customWidth="1"/>
    <col min="14859" max="14860" width="10" style="233" customWidth="1"/>
    <col min="14861" max="14864" width="9" style="233" bestFit="1" customWidth="1"/>
    <col min="14865" max="14865" width="3.44140625" style="233" customWidth="1"/>
    <col min="14866" max="14866" width="6.77734375" style="233" customWidth="1"/>
    <col min="14867" max="14867" width="55.44140625" style="233" customWidth="1"/>
    <col min="14868" max="15105" width="8.77734375" style="233"/>
    <col min="15106" max="15106" width="53.77734375" style="233" bestFit="1" customWidth="1"/>
    <col min="15107" max="15107" width="2.109375" style="233" customWidth="1"/>
    <col min="15108" max="15108" width="10" style="233" bestFit="1" customWidth="1"/>
    <col min="15109" max="15109" width="9.44140625" style="233" bestFit="1" customWidth="1"/>
    <col min="15110" max="15110" width="10" style="233" customWidth="1"/>
    <col min="15111" max="15111" width="11" style="233" customWidth="1"/>
    <col min="15112" max="15112" width="10" style="233" customWidth="1"/>
    <col min="15113" max="15114" width="10.33203125" style="233" customWidth="1"/>
    <col min="15115" max="15116" width="10" style="233" customWidth="1"/>
    <col min="15117" max="15120" width="9" style="233" bestFit="1" customWidth="1"/>
    <col min="15121" max="15121" width="3.44140625" style="233" customWidth="1"/>
    <col min="15122" max="15122" width="6.77734375" style="233" customWidth="1"/>
    <col min="15123" max="15123" width="55.44140625" style="233" customWidth="1"/>
    <col min="15124" max="15361" width="8.77734375" style="233"/>
    <col min="15362" max="15362" width="53.77734375" style="233" bestFit="1" customWidth="1"/>
    <col min="15363" max="15363" width="2.109375" style="233" customWidth="1"/>
    <col min="15364" max="15364" width="10" style="233" bestFit="1" customWidth="1"/>
    <col min="15365" max="15365" width="9.44140625" style="233" bestFit="1" customWidth="1"/>
    <col min="15366" max="15366" width="10" style="233" customWidth="1"/>
    <col min="15367" max="15367" width="11" style="233" customWidth="1"/>
    <col min="15368" max="15368" width="10" style="233" customWidth="1"/>
    <col min="15369" max="15370" width="10.33203125" style="233" customWidth="1"/>
    <col min="15371" max="15372" width="10" style="233" customWidth="1"/>
    <col min="15373" max="15376" width="9" style="233" bestFit="1" customWidth="1"/>
    <col min="15377" max="15377" width="3.44140625" style="233" customWidth="1"/>
    <col min="15378" max="15378" width="6.77734375" style="233" customWidth="1"/>
    <col min="15379" max="15379" width="55.44140625" style="233" customWidth="1"/>
    <col min="15380" max="15617" width="8.77734375" style="233"/>
    <col min="15618" max="15618" width="53.77734375" style="233" bestFit="1" customWidth="1"/>
    <col min="15619" max="15619" width="2.109375" style="233" customWidth="1"/>
    <col min="15620" max="15620" width="10" style="233" bestFit="1" customWidth="1"/>
    <col min="15621" max="15621" width="9.44140625" style="233" bestFit="1" customWidth="1"/>
    <col min="15622" max="15622" width="10" style="233" customWidth="1"/>
    <col min="15623" max="15623" width="11" style="233" customWidth="1"/>
    <col min="15624" max="15624" width="10" style="233" customWidth="1"/>
    <col min="15625" max="15626" width="10.33203125" style="233" customWidth="1"/>
    <col min="15627" max="15628" width="10" style="233" customWidth="1"/>
    <col min="15629" max="15632" width="9" style="233" bestFit="1" customWidth="1"/>
    <col min="15633" max="15633" width="3.44140625" style="233" customWidth="1"/>
    <col min="15634" max="15634" width="6.77734375" style="233" customWidth="1"/>
    <col min="15635" max="15635" width="55.44140625" style="233" customWidth="1"/>
    <col min="15636" max="15873" width="8.77734375" style="233"/>
    <col min="15874" max="15874" width="53.77734375" style="233" bestFit="1" customWidth="1"/>
    <col min="15875" max="15875" width="2.109375" style="233" customWidth="1"/>
    <col min="15876" max="15876" width="10" style="233" bestFit="1" customWidth="1"/>
    <col min="15877" max="15877" width="9.44140625" style="233" bestFit="1" customWidth="1"/>
    <col min="15878" max="15878" width="10" style="233" customWidth="1"/>
    <col min="15879" max="15879" width="11" style="233" customWidth="1"/>
    <col min="15880" max="15880" width="10" style="233" customWidth="1"/>
    <col min="15881" max="15882" width="10.33203125" style="233" customWidth="1"/>
    <col min="15883" max="15884" width="10" style="233" customWidth="1"/>
    <col min="15885" max="15888" width="9" style="233" bestFit="1" customWidth="1"/>
    <col min="15889" max="15889" width="3.44140625" style="233" customWidth="1"/>
    <col min="15890" max="15890" width="6.77734375" style="233" customWidth="1"/>
    <col min="15891" max="15891" width="55.44140625" style="233" customWidth="1"/>
    <col min="15892" max="16129" width="8.77734375" style="233"/>
    <col min="16130" max="16130" width="53.77734375" style="233" bestFit="1" customWidth="1"/>
    <col min="16131" max="16131" width="2.109375" style="233" customWidth="1"/>
    <col min="16132" max="16132" width="10" style="233" bestFit="1" customWidth="1"/>
    <col min="16133" max="16133" width="9.44140625" style="233" bestFit="1" customWidth="1"/>
    <col min="16134" max="16134" width="10" style="233" customWidth="1"/>
    <col min="16135" max="16135" width="11" style="233" customWidth="1"/>
    <col min="16136" max="16136" width="10" style="233" customWidth="1"/>
    <col min="16137" max="16138" width="10.33203125" style="233" customWidth="1"/>
    <col min="16139" max="16140" width="10" style="233" customWidth="1"/>
    <col min="16141" max="16144" width="9" style="233" bestFit="1" customWidth="1"/>
    <col min="16145" max="16145" width="3.44140625" style="233" customWidth="1"/>
    <col min="16146" max="16146" width="6.77734375" style="233" customWidth="1"/>
    <col min="16147" max="16147" width="55.44140625" style="233" customWidth="1"/>
    <col min="16148" max="16384" width="8.77734375" style="233"/>
  </cols>
  <sheetData>
    <row r="1" spans="1:19" ht="16.95" customHeight="1" thickBot="1" x14ac:dyDescent="0.3">
      <c r="A1" s="218"/>
      <c r="B1" s="251" t="s">
        <v>580</v>
      </c>
      <c r="C1" s="218"/>
      <c r="D1" s="218"/>
      <c r="E1" s="218"/>
      <c r="F1" s="218"/>
      <c r="G1" s="218"/>
      <c r="H1" s="218"/>
      <c r="I1" s="219"/>
      <c r="J1" s="207" t="s">
        <v>394</v>
      </c>
      <c r="K1" s="207" t="s">
        <v>393</v>
      </c>
      <c r="L1" s="207" t="s">
        <v>395</v>
      </c>
      <c r="M1" s="218"/>
      <c r="N1" s="218"/>
      <c r="O1" s="218"/>
      <c r="P1" s="218"/>
    </row>
    <row r="2" spans="1:19" ht="16.95" customHeight="1" thickBot="1" x14ac:dyDescent="0.3">
      <c r="A2" s="13" t="s">
        <v>0</v>
      </c>
      <c r="B2" s="252" t="s">
        <v>348</v>
      </c>
      <c r="C2" s="218"/>
      <c r="D2" s="218"/>
      <c r="E2" s="220"/>
      <c r="F2" s="221"/>
      <c r="G2" s="220"/>
      <c r="H2" s="220"/>
      <c r="I2" s="6" t="s">
        <v>341</v>
      </c>
      <c r="J2" s="222">
        <v>6500</v>
      </c>
      <c r="K2" s="55">
        <v>1</v>
      </c>
      <c r="L2" s="205" t="s">
        <v>371</v>
      </c>
      <c r="M2" s="220"/>
      <c r="N2" s="220"/>
      <c r="O2" s="220"/>
      <c r="P2" s="223" t="s">
        <v>222</v>
      </c>
      <c r="S2" s="234" t="s">
        <v>254</v>
      </c>
    </row>
    <row r="3" spans="1:19" ht="16.95" customHeight="1" x14ac:dyDescent="0.25">
      <c r="A3" s="224"/>
      <c r="B3" s="372" t="s">
        <v>222</v>
      </c>
      <c r="C3" s="224"/>
      <c r="D3" s="224"/>
      <c r="E3" s="225"/>
      <c r="F3" s="225"/>
      <c r="G3" s="225"/>
      <c r="H3" s="224"/>
      <c r="I3" s="6" t="s">
        <v>343</v>
      </c>
      <c r="J3" s="222">
        <v>419</v>
      </c>
      <c r="K3" s="55">
        <v>0.5</v>
      </c>
      <c r="L3" s="224"/>
      <c r="M3" s="224"/>
      <c r="N3" s="224"/>
      <c r="O3" s="224"/>
      <c r="P3" s="224"/>
      <c r="S3" s="235" t="s">
        <v>253</v>
      </c>
    </row>
    <row r="4" spans="1:19" ht="16.95" customHeight="1" x14ac:dyDescent="0.25">
      <c r="A4" s="488" t="s">
        <v>223</v>
      </c>
      <c r="B4" s="488"/>
      <c r="C4" s="488"/>
      <c r="D4" s="488"/>
      <c r="E4" s="488"/>
      <c r="F4" s="488"/>
      <c r="G4" s="488"/>
      <c r="H4" s="488"/>
      <c r="I4" s="488"/>
      <c r="J4" s="488"/>
      <c r="K4" s="488"/>
      <c r="L4" s="488"/>
      <c r="M4" s="488"/>
      <c r="N4" s="488"/>
      <c r="O4" s="488"/>
      <c r="P4" s="488"/>
      <c r="S4" s="236" t="s">
        <v>255</v>
      </c>
    </row>
    <row r="5" spans="1:19" ht="16.95" customHeight="1" x14ac:dyDescent="0.25">
      <c r="A5" s="226"/>
      <c r="B5" s="227"/>
      <c r="C5" s="226"/>
      <c r="D5" s="226"/>
      <c r="E5" s="250">
        <v>0.6</v>
      </c>
      <c r="F5" s="250"/>
      <c r="G5" s="250"/>
      <c r="H5" s="250"/>
      <c r="I5" s="250">
        <v>0.3</v>
      </c>
      <c r="J5" s="250"/>
      <c r="K5" s="250"/>
      <c r="L5" s="250"/>
      <c r="M5" s="250"/>
      <c r="N5" s="250"/>
      <c r="O5" s="250"/>
      <c r="P5" s="250">
        <v>0.1</v>
      </c>
    </row>
    <row r="6" spans="1:19" ht="16.95" customHeight="1" thickBot="1" x14ac:dyDescent="0.3">
      <c r="A6" s="228"/>
      <c r="B6" s="228"/>
      <c r="C6" s="228"/>
      <c r="D6" s="186" t="s">
        <v>224</v>
      </c>
      <c r="E6" s="186"/>
      <c r="F6" s="186"/>
      <c r="G6" s="186"/>
      <c r="H6" s="186"/>
      <c r="I6" s="186"/>
      <c r="J6" s="186"/>
      <c r="K6" s="186"/>
      <c r="L6" s="186"/>
      <c r="M6" s="186"/>
      <c r="N6" s="186"/>
      <c r="O6" s="186"/>
      <c r="P6" s="187"/>
      <c r="R6" s="238" t="s">
        <v>3</v>
      </c>
      <c r="S6" s="217" t="s">
        <v>4</v>
      </c>
    </row>
    <row r="7" spans="1:19" ht="16.95" customHeight="1" thickBot="1" x14ac:dyDescent="0.3">
      <c r="A7" s="189" t="s">
        <v>3</v>
      </c>
      <c r="B7" s="229" t="s">
        <v>225</v>
      </c>
      <c r="C7" s="218"/>
      <c r="D7" s="191" t="s">
        <v>226</v>
      </c>
      <c r="E7" s="191" t="s">
        <v>227</v>
      </c>
      <c r="F7" s="191" t="s">
        <v>228</v>
      </c>
      <c r="G7" s="191" t="s">
        <v>229</v>
      </c>
      <c r="H7" s="191" t="s">
        <v>230</v>
      </c>
      <c r="I7" s="191" t="s">
        <v>231</v>
      </c>
      <c r="J7" s="191" t="s">
        <v>232</v>
      </c>
      <c r="K7" s="191" t="s">
        <v>233</v>
      </c>
      <c r="L7" s="191" t="s">
        <v>234</v>
      </c>
      <c r="M7" s="191" t="s">
        <v>235</v>
      </c>
      <c r="N7" s="191" t="s">
        <v>236</v>
      </c>
      <c r="O7" s="191" t="s">
        <v>237</v>
      </c>
      <c r="P7" s="191" t="s">
        <v>238</v>
      </c>
    </row>
    <row r="9" spans="1:19" ht="16.95" customHeight="1" x14ac:dyDescent="0.25">
      <c r="A9" s="249"/>
      <c r="B9" s="192" t="s">
        <v>239</v>
      </c>
      <c r="D9" s="239"/>
      <c r="E9" s="239"/>
      <c r="F9" s="239"/>
      <c r="G9" s="239"/>
      <c r="H9" s="239"/>
      <c r="I9" s="239"/>
      <c r="J9" s="239"/>
      <c r="K9" s="239"/>
      <c r="L9" s="239"/>
      <c r="M9" s="239"/>
      <c r="N9" s="239"/>
      <c r="O9" s="239"/>
      <c r="P9" s="239"/>
    </row>
    <row r="10" spans="1:19" ht="16.95" customHeight="1" x14ac:dyDescent="0.25">
      <c r="A10" s="249"/>
      <c r="B10" s="198" t="s">
        <v>381</v>
      </c>
      <c r="D10" s="239"/>
      <c r="E10" s="239"/>
      <c r="F10" s="239"/>
      <c r="G10" s="239"/>
      <c r="H10" s="239"/>
      <c r="I10" s="239"/>
      <c r="J10" s="239"/>
      <c r="K10" s="239"/>
      <c r="L10" s="239"/>
      <c r="M10" s="239"/>
      <c r="N10" s="239"/>
      <c r="O10" s="239"/>
      <c r="P10" s="239"/>
    </row>
    <row r="11" spans="1:19" ht="16.95" customHeight="1" x14ac:dyDescent="0.25">
      <c r="A11" s="249">
        <f t="shared" ref="A11:A42" si="0">R11</f>
        <v>1</v>
      </c>
      <c r="B11" s="195" t="s">
        <v>382</v>
      </c>
      <c r="D11" s="240">
        <f t="shared" ref="D11:D24" si="1">SUM(E11:P11)</f>
        <v>650000</v>
      </c>
      <c r="E11" s="241">
        <f>L2*J2*E5*K2</f>
        <v>390000</v>
      </c>
      <c r="F11" s="241">
        <v>0</v>
      </c>
      <c r="G11" s="241">
        <v>0</v>
      </c>
      <c r="H11" s="241">
        <v>0</v>
      </c>
      <c r="I11" s="241">
        <f>L2*J2*I5*K2</f>
        <v>195000</v>
      </c>
      <c r="J11" s="241">
        <v>0</v>
      </c>
      <c r="K11" s="241">
        <v>0</v>
      </c>
      <c r="L11" s="241">
        <v>0</v>
      </c>
      <c r="M11" s="241">
        <v>0</v>
      </c>
      <c r="N11" s="241">
        <v>0</v>
      </c>
      <c r="O11" s="241">
        <v>0</v>
      </c>
      <c r="P11" s="241">
        <f>L2*J2*P5*K2</f>
        <v>65000</v>
      </c>
      <c r="R11" s="233">
        <v>1</v>
      </c>
      <c r="S11" s="253" t="s">
        <v>731</v>
      </c>
    </row>
    <row r="12" spans="1:19" ht="16.95" customHeight="1" x14ac:dyDescent="0.25">
      <c r="A12" s="249">
        <f t="shared" si="0"/>
        <v>2</v>
      </c>
      <c r="B12" s="195" t="s">
        <v>383</v>
      </c>
      <c r="D12" s="240">
        <f t="shared" si="1"/>
        <v>41120.412500000006</v>
      </c>
      <c r="E12" s="241">
        <v>0</v>
      </c>
      <c r="F12" s="241">
        <v>0</v>
      </c>
      <c r="G12" s="241">
        <v>0</v>
      </c>
      <c r="H12" s="241">
        <v>0</v>
      </c>
      <c r="I12" s="241">
        <v>0</v>
      </c>
      <c r="J12" s="241">
        <v>0</v>
      </c>
      <c r="K12" s="241">
        <v>0</v>
      </c>
      <c r="L12" s="241">
        <v>0</v>
      </c>
      <c r="M12" s="241">
        <v>0</v>
      </c>
      <c r="N12" s="241">
        <v>0</v>
      </c>
      <c r="O12" s="241">
        <v>0</v>
      </c>
      <c r="P12" s="241">
        <f>(J3*K3*L2)+((0.25*(1.99+3.66))+(0.25*(1.69+3.29))*L2*180*0.9)</f>
        <v>41120.412500000006</v>
      </c>
      <c r="R12" s="233">
        <v>2</v>
      </c>
      <c r="S12" s="253" t="s">
        <v>583</v>
      </c>
    </row>
    <row r="13" spans="1:19" ht="16.95" customHeight="1" x14ac:dyDescent="0.25">
      <c r="A13" s="249">
        <f t="shared" si="0"/>
        <v>3</v>
      </c>
      <c r="B13" s="197" t="s">
        <v>380</v>
      </c>
      <c r="D13" s="243"/>
      <c r="E13" s="243"/>
      <c r="F13" s="243"/>
      <c r="G13" s="243"/>
      <c r="H13" s="243"/>
      <c r="I13" s="243"/>
      <c r="J13" s="243"/>
      <c r="K13" s="243"/>
      <c r="L13" s="243"/>
      <c r="M13" s="243"/>
      <c r="N13" s="243"/>
      <c r="O13" s="243"/>
      <c r="P13" s="243"/>
      <c r="R13" s="233">
        <v>3</v>
      </c>
    </row>
    <row r="14" spans="1:19" ht="16.95" customHeight="1" x14ac:dyDescent="0.25">
      <c r="A14" s="233">
        <f t="shared" si="0"/>
        <v>4</v>
      </c>
      <c r="B14" s="195" t="s">
        <v>384</v>
      </c>
      <c r="D14" s="240">
        <f t="shared" si="1"/>
        <v>100000</v>
      </c>
      <c r="E14" s="241">
        <v>0</v>
      </c>
      <c r="F14" s="241">
        <v>0</v>
      </c>
      <c r="G14" s="241">
        <v>0</v>
      </c>
      <c r="H14" s="241">
        <v>0</v>
      </c>
      <c r="I14" s="241">
        <v>0</v>
      </c>
      <c r="J14" s="241">
        <v>50000</v>
      </c>
      <c r="K14" s="241">
        <v>50000</v>
      </c>
      <c r="L14" s="241">
        <v>0</v>
      </c>
      <c r="M14" s="241">
        <v>0</v>
      </c>
      <c r="N14" s="241">
        <v>0</v>
      </c>
      <c r="O14" s="241">
        <v>0</v>
      </c>
      <c r="P14" s="241">
        <v>0</v>
      </c>
      <c r="R14" s="233">
        <v>4</v>
      </c>
      <c r="S14" s="196" t="s">
        <v>653</v>
      </c>
    </row>
    <row r="15" spans="1:19" ht="16.95" customHeight="1" x14ac:dyDescent="0.25">
      <c r="A15" s="233">
        <f t="shared" si="0"/>
        <v>5</v>
      </c>
      <c r="B15" s="195" t="s">
        <v>385</v>
      </c>
      <c r="D15" s="240">
        <f t="shared" si="1"/>
        <v>0</v>
      </c>
      <c r="E15" s="241">
        <v>0</v>
      </c>
      <c r="F15" s="241">
        <v>0</v>
      </c>
      <c r="G15" s="241">
        <v>0</v>
      </c>
      <c r="H15" s="241">
        <v>0</v>
      </c>
      <c r="I15" s="241">
        <v>0</v>
      </c>
      <c r="J15" s="241">
        <v>0</v>
      </c>
      <c r="K15" s="241">
        <v>0</v>
      </c>
      <c r="L15" s="241">
        <v>0</v>
      </c>
      <c r="M15" s="241">
        <v>0</v>
      </c>
      <c r="N15" s="241">
        <v>0</v>
      </c>
      <c r="O15" s="241">
        <v>0</v>
      </c>
      <c r="P15" s="241">
        <v>0</v>
      </c>
      <c r="R15" s="233">
        <v>5</v>
      </c>
      <c r="S15" s="196"/>
    </row>
    <row r="16" spans="1:19" ht="16.95" customHeight="1" x14ac:dyDescent="0.25">
      <c r="A16" s="233">
        <f t="shared" si="0"/>
        <v>6</v>
      </c>
      <c r="B16" s="195" t="s">
        <v>386</v>
      </c>
      <c r="D16" s="240">
        <f t="shared" si="1"/>
        <v>200000</v>
      </c>
      <c r="E16" s="241">
        <v>0</v>
      </c>
      <c r="F16" s="241">
        <v>0</v>
      </c>
      <c r="G16" s="241">
        <v>0</v>
      </c>
      <c r="H16" s="241">
        <v>0</v>
      </c>
      <c r="I16" s="241">
        <v>100000</v>
      </c>
      <c r="J16" s="241">
        <v>0</v>
      </c>
      <c r="K16" s="241">
        <v>0</v>
      </c>
      <c r="L16" s="241">
        <v>0</v>
      </c>
      <c r="M16" s="241">
        <v>0</v>
      </c>
      <c r="N16" s="241">
        <v>0</v>
      </c>
      <c r="O16" s="241">
        <v>0</v>
      </c>
      <c r="P16" s="241">
        <v>100000</v>
      </c>
      <c r="R16" s="233">
        <v>6</v>
      </c>
      <c r="S16" s="196" t="s">
        <v>732</v>
      </c>
    </row>
    <row r="17" spans="1:19" ht="16.95" customHeight="1" x14ac:dyDescent="0.25">
      <c r="A17" s="233">
        <f t="shared" si="0"/>
        <v>7</v>
      </c>
      <c r="B17" s="198" t="s">
        <v>377</v>
      </c>
      <c r="D17" s="170"/>
      <c r="E17" s="170"/>
      <c r="F17" s="170"/>
      <c r="G17" s="170"/>
      <c r="H17" s="170"/>
      <c r="I17" s="170"/>
      <c r="J17" s="170"/>
      <c r="K17" s="170"/>
      <c r="L17" s="170"/>
      <c r="M17" s="170"/>
      <c r="N17" s="170"/>
      <c r="O17" s="170"/>
      <c r="P17" s="170"/>
      <c r="R17" s="233">
        <v>7</v>
      </c>
      <c r="S17" s="196" t="s">
        <v>649</v>
      </c>
    </row>
    <row r="18" spans="1:19" ht="16.95" customHeight="1" x14ac:dyDescent="0.25">
      <c r="A18" s="244">
        <f t="shared" si="0"/>
        <v>7.1</v>
      </c>
      <c r="B18" s="202" t="s">
        <v>372</v>
      </c>
      <c r="D18" s="240">
        <f t="shared" si="1"/>
        <v>-226399.99999999997</v>
      </c>
      <c r="E18" s="241">
        <f>-'A2. Bgt_FuncExp'!$G$8/12</f>
        <v>-18866.666666666668</v>
      </c>
      <c r="F18" s="241">
        <f>-'A2. Bgt_FuncExp'!$G$8/12</f>
        <v>-18866.666666666668</v>
      </c>
      <c r="G18" s="241">
        <f>-'A2. Bgt_FuncExp'!$G$8/12</f>
        <v>-18866.666666666668</v>
      </c>
      <c r="H18" s="241">
        <f>-'A2. Bgt_FuncExp'!$G$8/12</f>
        <v>-18866.666666666668</v>
      </c>
      <c r="I18" s="241">
        <f>-'A2. Bgt_FuncExp'!$G$8/12</f>
        <v>-18866.666666666668</v>
      </c>
      <c r="J18" s="241">
        <f>-'A2. Bgt_FuncExp'!$G$8/12</f>
        <v>-18866.666666666668</v>
      </c>
      <c r="K18" s="241">
        <f>-'A2. Bgt_FuncExp'!$G$8/12</f>
        <v>-18866.666666666668</v>
      </c>
      <c r="L18" s="241">
        <f>-'A2. Bgt_FuncExp'!$G$8/12</f>
        <v>-18866.666666666668</v>
      </c>
      <c r="M18" s="241">
        <f>-'A2. Bgt_FuncExp'!$G$8/12</f>
        <v>-18866.666666666668</v>
      </c>
      <c r="N18" s="241">
        <f>-'A2. Bgt_FuncExp'!$G$8/12</f>
        <v>-18866.666666666668</v>
      </c>
      <c r="O18" s="241">
        <f>-'A2. Bgt_FuncExp'!$G$8/12</f>
        <v>-18866.666666666668</v>
      </c>
      <c r="P18" s="241">
        <f>-'A2. Bgt_FuncExp'!$G$8/12</f>
        <v>-18866.666666666668</v>
      </c>
      <c r="R18" s="245">
        <v>7.1</v>
      </c>
      <c r="S18" s="242"/>
    </row>
    <row r="19" spans="1:19" ht="16.95" customHeight="1" x14ac:dyDescent="0.25">
      <c r="A19" s="244">
        <f t="shared" si="0"/>
        <v>7.2</v>
      </c>
      <c r="B19" s="202" t="s">
        <v>373</v>
      </c>
      <c r="D19" s="240">
        <f t="shared" si="1"/>
        <v>-451800</v>
      </c>
      <c r="E19" s="241">
        <f>-'A2. Bgt_FuncExp'!$G$41/12</f>
        <v>-37650</v>
      </c>
      <c r="F19" s="241">
        <f>-'A2. Bgt_FuncExp'!$G$41/12</f>
        <v>-37650</v>
      </c>
      <c r="G19" s="241">
        <f>-'A2. Bgt_FuncExp'!$G$41/12</f>
        <v>-37650</v>
      </c>
      <c r="H19" s="241">
        <f>-'A2. Bgt_FuncExp'!$G$41/12</f>
        <v>-37650</v>
      </c>
      <c r="I19" s="241">
        <f>-'A2. Bgt_FuncExp'!$G$41/12</f>
        <v>-37650</v>
      </c>
      <c r="J19" s="241">
        <f>-'A2. Bgt_FuncExp'!$G$41/12</f>
        <v>-37650</v>
      </c>
      <c r="K19" s="241">
        <f>-'A2. Bgt_FuncExp'!$G$41/12</f>
        <v>-37650</v>
      </c>
      <c r="L19" s="241">
        <f>-'A2. Bgt_FuncExp'!$G$41/12</f>
        <v>-37650</v>
      </c>
      <c r="M19" s="241">
        <f>-'A2. Bgt_FuncExp'!$G$41/12</f>
        <v>-37650</v>
      </c>
      <c r="N19" s="241">
        <f>-'A2. Bgt_FuncExp'!$G$41/12</f>
        <v>-37650</v>
      </c>
      <c r="O19" s="241">
        <f>-'A2. Bgt_FuncExp'!$G$41/12</f>
        <v>-37650</v>
      </c>
      <c r="P19" s="241">
        <f>-'A2. Bgt_FuncExp'!$G$41/12</f>
        <v>-37650</v>
      </c>
      <c r="R19" s="245">
        <v>7.2</v>
      </c>
      <c r="S19" s="242"/>
    </row>
    <row r="20" spans="1:19" ht="16.95" customHeight="1" x14ac:dyDescent="0.25">
      <c r="A20" s="244">
        <f t="shared" si="0"/>
        <v>7.3</v>
      </c>
      <c r="B20" s="202" t="s">
        <v>374</v>
      </c>
      <c r="D20" s="240">
        <f t="shared" si="1"/>
        <v>-90000</v>
      </c>
      <c r="E20" s="241">
        <f>-'A2. Bgt_FuncExp'!$G$77/12</f>
        <v>-7500</v>
      </c>
      <c r="F20" s="241">
        <f>-'A2. Bgt_FuncExp'!$G$77/12</f>
        <v>-7500</v>
      </c>
      <c r="G20" s="241">
        <f>-'A2. Bgt_FuncExp'!$G$77/12</f>
        <v>-7500</v>
      </c>
      <c r="H20" s="241">
        <f>-'A2. Bgt_FuncExp'!$G$77/12</f>
        <v>-7500</v>
      </c>
      <c r="I20" s="241">
        <f>-'A2. Bgt_FuncExp'!$G$77/12</f>
        <v>-7500</v>
      </c>
      <c r="J20" s="241">
        <f>-'A2. Bgt_FuncExp'!$G$77/12</f>
        <v>-7500</v>
      </c>
      <c r="K20" s="241">
        <f>-'A2. Bgt_FuncExp'!$G$77/12</f>
        <v>-7500</v>
      </c>
      <c r="L20" s="241">
        <f>-'A2. Bgt_FuncExp'!$G$77/12</f>
        <v>-7500</v>
      </c>
      <c r="M20" s="241">
        <f>-'A2. Bgt_FuncExp'!$G$77/12</f>
        <v>-7500</v>
      </c>
      <c r="N20" s="241">
        <f>-'A2. Bgt_FuncExp'!$G$77/12</f>
        <v>-7500</v>
      </c>
      <c r="O20" s="241">
        <f>-'A2. Bgt_FuncExp'!$G$77/12</f>
        <v>-7500</v>
      </c>
      <c r="P20" s="241">
        <f>-'A2. Bgt_FuncExp'!$G$77/12</f>
        <v>-7500</v>
      </c>
      <c r="R20" s="245">
        <v>7.3</v>
      </c>
      <c r="S20" s="242"/>
    </row>
    <row r="21" spans="1:19" ht="16.95" customHeight="1" x14ac:dyDescent="0.25">
      <c r="A21" s="244">
        <f t="shared" si="0"/>
        <v>7.4</v>
      </c>
      <c r="B21" s="202" t="s">
        <v>375</v>
      </c>
      <c r="D21" s="240">
        <f t="shared" si="1"/>
        <v>-99000</v>
      </c>
      <c r="E21" s="241">
        <f>-'A2. Bgt_FuncExp'!$G$86/12</f>
        <v>-8250</v>
      </c>
      <c r="F21" s="241">
        <f>-'A2. Bgt_FuncExp'!$G$86/12</f>
        <v>-8250</v>
      </c>
      <c r="G21" s="241">
        <f>-'A2. Bgt_FuncExp'!$G$86/12</f>
        <v>-8250</v>
      </c>
      <c r="H21" s="241">
        <f>-'A2. Bgt_FuncExp'!$G$86/12</f>
        <v>-8250</v>
      </c>
      <c r="I21" s="241">
        <f>-'A2. Bgt_FuncExp'!$G$86/12</f>
        <v>-8250</v>
      </c>
      <c r="J21" s="241">
        <f>-'A2. Bgt_FuncExp'!$G$86/12</f>
        <v>-8250</v>
      </c>
      <c r="K21" s="241">
        <f>-'A2. Bgt_FuncExp'!$G$86/12</f>
        <v>-8250</v>
      </c>
      <c r="L21" s="241">
        <f>-'A2. Bgt_FuncExp'!$G$86/12</f>
        <v>-8250</v>
      </c>
      <c r="M21" s="241">
        <f>-'A2. Bgt_FuncExp'!$G$86/12</f>
        <v>-8250</v>
      </c>
      <c r="N21" s="241">
        <f>-'A2. Bgt_FuncExp'!$G$86/12</f>
        <v>-8250</v>
      </c>
      <c r="O21" s="241">
        <f>-'A2. Bgt_FuncExp'!$G$86/12</f>
        <v>-8250</v>
      </c>
      <c r="P21" s="241">
        <f>-'A2. Bgt_FuncExp'!$G$86/12</f>
        <v>-8250</v>
      </c>
      <c r="R21" s="245">
        <v>7.4</v>
      </c>
      <c r="S21" s="196" t="s">
        <v>656</v>
      </c>
    </row>
    <row r="22" spans="1:19" ht="16.95" customHeight="1" x14ac:dyDescent="0.25">
      <c r="A22" s="244">
        <f t="shared" si="0"/>
        <v>7.5</v>
      </c>
      <c r="B22" s="204" t="s">
        <v>376</v>
      </c>
      <c r="D22" s="240">
        <f t="shared" si="1"/>
        <v>0</v>
      </c>
      <c r="E22" s="241">
        <f>-'A2. Bgt_FuncExp'!$G$99/12</f>
        <v>0</v>
      </c>
      <c r="F22" s="241">
        <f>-'A2. Bgt_FuncExp'!$G$99/12</f>
        <v>0</v>
      </c>
      <c r="G22" s="241">
        <f>-'A2. Bgt_FuncExp'!$G$99/12</f>
        <v>0</v>
      </c>
      <c r="H22" s="241">
        <f>-'A2. Bgt_FuncExp'!$G$99/12</f>
        <v>0</v>
      </c>
      <c r="I22" s="241">
        <f>-'A2. Bgt_FuncExp'!$G$99/12</f>
        <v>0</v>
      </c>
      <c r="J22" s="241">
        <f>-'A2. Bgt_FuncExp'!$G$99/12</f>
        <v>0</v>
      </c>
      <c r="K22" s="241">
        <f>-'A2. Bgt_FuncExp'!$G$99/12</f>
        <v>0</v>
      </c>
      <c r="L22" s="241">
        <f>-'A2. Bgt_FuncExp'!$G$99/12</f>
        <v>0</v>
      </c>
      <c r="M22" s="241">
        <f>-'A2. Bgt_FuncExp'!$G$99/12</f>
        <v>0</v>
      </c>
      <c r="N22" s="241">
        <f>-'A2. Bgt_FuncExp'!$G$99/12</f>
        <v>0</v>
      </c>
      <c r="O22" s="241">
        <f>-'A2. Bgt_FuncExp'!$G$99/12</f>
        <v>0</v>
      </c>
      <c r="P22" s="241">
        <f>-'A2. Bgt_FuncExp'!$G$99/12</f>
        <v>0</v>
      </c>
      <c r="R22" s="245">
        <v>7.5</v>
      </c>
      <c r="S22" s="242"/>
    </row>
    <row r="23" spans="1:19" ht="16.95" customHeight="1" x14ac:dyDescent="0.25">
      <c r="A23" s="244">
        <f t="shared" si="0"/>
        <v>7.6</v>
      </c>
      <c r="B23" s="202" t="s">
        <v>378</v>
      </c>
      <c r="D23" s="240">
        <f t="shared" si="1"/>
        <v>-1000.0000000000001</v>
      </c>
      <c r="E23" s="241">
        <f>-'A2. Bgt_FuncExp'!$G$106/12</f>
        <v>-83.333333333333329</v>
      </c>
      <c r="F23" s="241">
        <f>-'A2. Bgt_FuncExp'!$G$106/12</f>
        <v>-83.333333333333329</v>
      </c>
      <c r="G23" s="241">
        <f>-'A2. Bgt_FuncExp'!$G$106/12</f>
        <v>-83.333333333333329</v>
      </c>
      <c r="H23" s="241">
        <f>-'A2. Bgt_FuncExp'!$G$106/12</f>
        <v>-83.333333333333329</v>
      </c>
      <c r="I23" s="241">
        <f>-'A2. Bgt_FuncExp'!$G$106/12</f>
        <v>-83.333333333333329</v>
      </c>
      <c r="J23" s="241">
        <f>-'A2. Bgt_FuncExp'!$G$106/12</f>
        <v>-83.333333333333329</v>
      </c>
      <c r="K23" s="241">
        <f>-'A2. Bgt_FuncExp'!$G$106/12</f>
        <v>-83.333333333333329</v>
      </c>
      <c r="L23" s="241">
        <f>-'A2. Bgt_FuncExp'!$G$106/12</f>
        <v>-83.333333333333329</v>
      </c>
      <c r="M23" s="241">
        <f>-'A2. Bgt_FuncExp'!$G$106/12</f>
        <v>-83.333333333333329</v>
      </c>
      <c r="N23" s="241">
        <f>-'A2. Bgt_FuncExp'!$G$106/12</f>
        <v>-83.333333333333329</v>
      </c>
      <c r="O23" s="241">
        <f>-'A2. Bgt_FuncExp'!$G$106/12</f>
        <v>-83.333333333333329</v>
      </c>
      <c r="P23" s="241">
        <f>-'A2. Bgt_FuncExp'!$G$106/12</f>
        <v>-83.333333333333329</v>
      </c>
      <c r="R23" s="245">
        <v>7.6</v>
      </c>
      <c r="S23" s="242"/>
    </row>
    <row r="24" spans="1:19" ht="16.95" customHeight="1" x14ac:dyDescent="0.25">
      <c r="A24" s="244">
        <f t="shared" si="0"/>
        <v>7.7</v>
      </c>
      <c r="B24" s="202" t="s">
        <v>379</v>
      </c>
      <c r="D24" s="240">
        <f t="shared" si="1"/>
        <v>0</v>
      </c>
      <c r="E24" s="241">
        <f>'A2. Bgt_FuncExp'!$G$110/12</f>
        <v>0</v>
      </c>
      <c r="F24" s="241">
        <f>'A2. Bgt_FuncExp'!$G$110/12</f>
        <v>0</v>
      </c>
      <c r="G24" s="241">
        <f>'A2. Bgt_FuncExp'!$G$110/12</f>
        <v>0</v>
      </c>
      <c r="H24" s="241">
        <f>'A2. Bgt_FuncExp'!$G$110/12</f>
        <v>0</v>
      </c>
      <c r="I24" s="241">
        <f>'A2. Bgt_FuncExp'!$G$110/12</f>
        <v>0</v>
      </c>
      <c r="J24" s="241">
        <f>'A2. Bgt_FuncExp'!$G$110/12</f>
        <v>0</v>
      </c>
      <c r="K24" s="241">
        <f>'A2. Bgt_FuncExp'!$G$110/12</f>
        <v>0</v>
      </c>
      <c r="L24" s="241">
        <f>'A2. Bgt_FuncExp'!$G$110/12</f>
        <v>0</v>
      </c>
      <c r="M24" s="241">
        <f>'A2. Bgt_FuncExp'!$G$110/12</f>
        <v>0</v>
      </c>
      <c r="N24" s="241">
        <f>'A2. Bgt_FuncExp'!$G$110/12</f>
        <v>0</v>
      </c>
      <c r="O24" s="241">
        <f>'A2. Bgt_FuncExp'!$G$110/12</f>
        <v>0</v>
      </c>
      <c r="P24" s="241">
        <f>'A2. Bgt_FuncExp'!$G$110/12</f>
        <v>0</v>
      </c>
      <c r="R24" s="245">
        <v>7.7</v>
      </c>
      <c r="S24" s="242"/>
    </row>
    <row r="25" spans="1:19" ht="16.95" customHeight="1" x14ac:dyDescent="0.25">
      <c r="A25" s="233">
        <f t="shared" si="0"/>
        <v>8</v>
      </c>
      <c r="B25" s="194" t="s">
        <v>240</v>
      </c>
      <c r="D25" s="246">
        <f t="shared" ref="D25:P25" si="2">SUM(D11:D24)</f>
        <v>122920.41249999998</v>
      </c>
      <c r="E25" s="246">
        <f t="shared" si="2"/>
        <v>317650</v>
      </c>
      <c r="F25" s="246">
        <f t="shared" si="2"/>
        <v>-72350</v>
      </c>
      <c r="G25" s="246">
        <f t="shared" si="2"/>
        <v>-72350</v>
      </c>
      <c r="H25" s="246">
        <f t="shared" si="2"/>
        <v>-72350</v>
      </c>
      <c r="I25" s="246">
        <f t="shared" si="2"/>
        <v>222649.99999999997</v>
      </c>
      <c r="J25" s="246">
        <f t="shared" si="2"/>
        <v>-22350</v>
      </c>
      <c r="K25" s="246">
        <f t="shared" si="2"/>
        <v>-22350</v>
      </c>
      <c r="L25" s="246">
        <f t="shared" si="2"/>
        <v>-72350</v>
      </c>
      <c r="M25" s="246">
        <f t="shared" si="2"/>
        <v>-72350</v>
      </c>
      <c r="N25" s="246">
        <f t="shared" si="2"/>
        <v>-72350</v>
      </c>
      <c r="O25" s="246">
        <f t="shared" si="2"/>
        <v>-72350</v>
      </c>
      <c r="P25" s="246">
        <f t="shared" si="2"/>
        <v>133770.41250000001</v>
      </c>
      <c r="R25" s="233">
        <v>8</v>
      </c>
      <c r="S25" s="242" t="s">
        <v>22</v>
      </c>
    </row>
    <row r="26" spans="1:19" ht="16.95" customHeight="1" x14ac:dyDescent="0.25">
      <c r="B26" s="2" t="s">
        <v>241</v>
      </c>
      <c r="D26" s="247"/>
      <c r="E26" s="247"/>
      <c r="F26" s="247"/>
      <c r="G26" s="247"/>
      <c r="H26" s="247"/>
      <c r="I26" s="247"/>
      <c r="J26" s="247"/>
      <c r="K26" s="247"/>
      <c r="L26" s="247"/>
      <c r="M26" s="247"/>
      <c r="N26" s="247"/>
      <c r="O26" s="247"/>
      <c r="P26" s="247"/>
    </row>
    <row r="27" spans="1:19" ht="16.95" customHeight="1" x14ac:dyDescent="0.25">
      <c r="B27" s="192" t="s">
        <v>242</v>
      </c>
      <c r="D27" s="203"/>
      <c r="E27" s="203"/>
      <c r="F27" s="203"/>
      <c r="G27" s="203"/>
      <c r="H27" s="203"/>
      <c r="I27" s="203"/>
      <c r="J27" s="203"/>
      <c r="K27" s="203"/>
      <c r="L27" s="203"/>
      <c r="M27" s="203"/>
      <c r="N27" s="203"/>
      <c r="O27" s="203"/>
      <c r="P27" s="203"/>
    </row>
    <row r="28" spans="1:19" ht="16.95" customHeight="1" x14ac:dyDescent="0.25">
      <c r="A28" s="233">
        <f t="shared" si="0"/>
        <v>9</v>
      </c>
      <c r="B28" s="195" t="s">
        <v>387</v>
      </c>
      <c r="D28" s="240">
        <f>SUM(E28:P28)</f>
        <v>0</v>
      </c>
      <c r="E28" s="241">
        <v>0</v>
      </c>
      <c r="F28" s="241">
        <v>0</v>
      </c>
      <c r="G28" s="241">
        <v>0</v>
      </c>
      <c r="H28" s="241">
        <v>0</v>
      </c>
      <c r="I28" s="241">
        <v>0</v>
      </c>
      <c r="J28" s="241">
        <v>0</v>
      </c>
      <c r="K28" s="241">
        <v>0</v>
      </c>
      <c r="L28" s="241">
        <v>0</v>
      </c>
      <c r="M28" s="241">
        <v>0</v>
      </c>
      <c r="N28" s="241">
        <v>0</v>
      </c>
      <c r="O28" s="241">
        <v>0</v>
      </c>
      <c r="P28" s="241">
        <v>0</v>
      </c>
      <c r="R28" s="233">
        <f>R25+1</f>
        <v>9</v>
      </c>
      <c r="S28" s="196" t="s">
        <v>652</v>
      </c>
    </row>
    <row r="29" spans="1:19" ht="16.95" customHeight="1" x14ac:dyDescent="0.25">
      <c r="A29" s="233">
        <f t="shared" si="0"/>
        <v>10</v>
      </c>
      <c r="B29" s="195" t="s">
        <v>388</v>
      </c>
      <c r="D29" s="240">
        <f>SUM(E29:P29)</f>
        <v>0</v>
      </c>
      <c r="E29" s="241">
        <v>0</v>
      </c>
      <c r="F29" s="241">
        <v>0</v>
      </c>
      <c r="G29" s="241">
        <v>0</v>
      </c>
      <c r="H29" s="241">
        <v>0</v>
      </c>
      <c r="I29" s="241">
        <v>0</v>
      </c>
      <c r="J29" s="241">
        <v>0</v>
      </c>
      <c r="K29" s="241">
        <v>0</v>
      </c>
      <c r="L29" s="241">
        <v>0</v>
      </c>
      <c r="M29" s="241">
        <v>0</v>
      </c>
      <c r="N29" s="241">
        <v>0</v>
      </c>
      <c r="O29" s="241">
        <v>0</v>
      </c>
      <c r="P29" s="241">
        <v>0</v>
      </c>
      <c r="R29" s="233">
        <f>R28+1</f>
        <v>10</v>
      </c>
      <c r="S29" s="196" t="s">
        <v>575</v>
      </c>
    </row>
    <row r="30" spans="1:19" ht="16.95" customHeight="1" x14ac:dyDescent="0.25">
      <c r="A30" s="233">
        <f t="shared" si="0"/>
        <v>11</v>
      </c>
      <c r="B30" s="52" t="s">
        <v>243</v>
      </c>
      <c r="D30" s="246">
        <f>SUM(E28:P29)</f>
        <v>0</v>
      </c>
      <c r="E30" s="246">
        <f>SUM(E28:P29)</f>
        <v>0</v>
      </c>
      <c r="F30" s="246">
        <f>SUM(F28:P29)</f>
        <v>0</v>
      </c>
      <c r="G30" s="246">
        <f>SUM(G28:P29)</f>
        <v>0</v>
      </c>
      <c r="H30" s="246">
        <f>SUM(H28:P29)</f>
        <v>0</v>
      </c>
      <c r="I30" s="246">
        <f>SUM(I28:P29)</f>
        <v>0</v>
      </c>
      <c r="J30" s="246">
        <f>SUM(J28:P29)</f>
        <v>0</v>
      </c>
      <c r="K30" s="246">
        <f>SUM(K28:P29)</f>
        <v>0</v>
      </c>
      <c r="L30" s="246">
        <f>SUM(L28:P29)</f>
        <v>0</v>
      </c>
      <c r="M30" s="246">
        <f>SUM(M28:P29)</f>
        <v>0</v>
      </c>
      <c r="N30" s="246">
        <f>SUM(N28:P29)</f>
        <v>0</v>
      </c>
      <c r="O30" s="246">
        <f>SUM(O28:P29)</f>
        <v>0</v>
      </c>
      <c r="P30" s="246">
        <f>SUM(P28:P29)</f>
        <v>0</v>
      </c>
      <c r="R30" s="233">
        <f>R29+1</f>
        <v>11</v>
      </c>
      <c r="S30" s="242" t="s">
        <v>244</v>
      </c>
    </row>
    <row r="31" spans="1:19" ht="16.95" customHeight="1" x14ac:dyDescent="0.25">
      <c r="B31" s="174"/>
      <c r="D31" s="247"/>
      <c r="E31" s="247"/>
      <c r="F31" s="247"/>
      <c r="G31" s="247"/>
      <c r="H31" s="247"/>
      <c r="I31" s="247"/>
      <c r="J31" s="247"/>
      <c r="K31" s="247"/>
      <c r="L31" s="247"/>
      <c r="M31" s="247"/>
      <c r="N31" s="247"/>
      <c r="O31" s="247"/>
      <c r="P31" s="247"/>
    </row>
    <row r="32" spans="1:19" ht="16.95" customHeight="1" x14ac:dyDescent="0.25">
      <c r="B32" s="192" t="s">
        <v>245</v>
      </c>
      <c r="D32" s="203"/>
      <c r="E32" s="203"/>
      <c r="F32" s="203"/>
      <c r="G32" s="203"/>
      <c r="H32" s="203"/>
      <c r="I32" s="203"/>
      <c r="J32" s="203"/>
      <c r="K32" s="203"/>
      <c r="L32" s="203"/>
      <c r="M32" s="203"/>
      <c r="N32" s="203"/>
      <c r="O32" s="203"/>
      <c r="P32" s="203"/>
    </row>
    <row r="33" spans="1:19" ht="16.95" customHeight="1" x14ac:dyDescent="0.25">
      <c r="A33" s="233">
        <f t="shared" si="0"/>
        <v>12</v>
      </c>
      <c r="B33" s="195" t="s">
        <v>389</v>
      </c>
      <c r="D33" s="240">
        <f>SUM(E33:P33)</f>
        <v>0</v>
      </c>
      <c r="E33" s="241">
        <v>0</v>
      </c>
      <c r="F33" s="241">
        <v>0</v>
      </c>
      <c r="G33" s="241">
        <v>0</v>
      </c>
      <c r="H33" s="241">
        <v>0</v>
      </c>
      <c r="I33" s="241">
        <v>0</v>
      </c>
      <c r="J33" s="241">
        <v>0</v>
      </c>
      <c r="K33" s="241">
        <v>0</v>
      </c>
      <c r="L33" s="241">
        <v>0</v>
      </c>
      <c r="M33" s="241">
        <v>0</v>
      </c>
      <c r="N33" s="241">
        <v>0</v>
      </c>
      <c r="O33" s="241">
        <v>0</v>
      </c>
      <c r="P33" s="241">
        <v>0</v>
      </c>
      <c r="R33" s="233">
        <f>R30+1</f>
        <v>12</v>
      </c>
      <c r="S33" s="196" t="s">
        <v>647</v>
      </c>
    </row>
    <row r="34" spans="1:19" ht="16.95" customHeight="1" x14ac:dyDescent="0.25">
      <c r="A34" s="233">
        <f t="shared" si="0"/>
        <v>13</v>
      </c>
      <c r="B34" s="195" t="s">
        <v>390</v>
      </c>
      <c r="D34" s="240">
        <f>SUM(E34:P34)</f>
        <v>0</v>
      </c>
      <c r="E34" s="241">
        <v>0</v>
      </c>
      <c r="F34" s="241">
        <v>0</v>
      </c>
      <c r="G34" s="241">
        <v>0</v>
      </c>
      <c r="H34" s="241">
        <v>0</v>
      </c>
      <c r="I34" s="241">
        <v>0</v>
      </c>
      <c r="J34" s="241">
        <v>0</v>
      </c>
      <c r="K34" s="241">
        <v>0</v>
      </c>
      <c r="L34" s="241">
        <v>0</v>
      </c>
      <c r="M34" s="241">
        <v>0</v>
      </c>
      <c r="N34" s="241">
        <v>0</v>
      </c>
      <c r="O34" s="241">
        <v>0</v>
      </c>
      <c r="P34" s="241">
        <v>0</v>
      </c>
      <c r="R34" s="233">
        <f>R33+1</f>
        <v>13</v>
      </c>
      <c r="S34" s="196" t="s">
        <v>573</v>
      </c>
    </row>
    <row r="35" spans="1:19" ht="16.95" customHeight="1" x14ac:dyDescent="0.25">
      <c r="A35" s="233">
        <f t="shared" si="0"/>
        <v>14</v>
      </c>
      <c r="B35" s="195" t="s">
        <v>391</v>
      </c>
      <c r="D35" s="240">
        <f>SUM(E35:P35)</f>
        <v>0</v>
      </c>
      <c r="E35" s="241">
        <v>0</v>
      </c>
      <c r="F35" s="241">
        <v>0</v>
      </c>
      <c r="G35" s="241">
        <v>0</v>
      </c>
      <c r="H35" s="241">
        <v>0</v>
      </c>
      <c r="I35" s="241">
        <v>0</v>
      </c>
      <c r="J35" s="241">
        <v>0</v>
      </c>
      <c r="K35" s="241">
        <v>0</v>
      </c>
      <c r="L35" s="241">
        <v>0</v>
      </c>
      <c r="M35" s="241">
        <v>0</v>
      </c>
      <c r="N35" s="241">
        <v>0</v>
      </c>
      <c r="O35" s="241">
        <v>0</v>
      </c>
      <c r="P35" s="241">
        <v>0</v>
      </c>
      <c r="R35" s="233">
        <f>R34+1</f>
        <v>14</v>
      </c>
      <c r="S35" s="196" t="s">
        <v>647</v>
      </c>
    </row>
    <row r="36" spans="1:19" ht="16.95" customHeight="1" x14ac:dyDescent="0.25">
      <c r="A36" s="233">
        <f t="shared" si="0"/>
        <v>15</v>
      </c>
      <c r="B36" s="195" t="s">
        <v>392</v>
      </c>
      <c r="D36" s="240">
        <f>SUM(E36:P36)</f>
        <v>0</v>
      </c>
      <c r="E36" s="241">
        <v>0</v>
      </c>
      <c r="F36" s="241">
        <v>0</v>
      </c>
      <c r="G36" s="241">
        <v>0</v>
      </c>
      <c r="H36" s="241">
        <v>0</v>
      </c>
      <c r="I36" s="241">
        <v>0</v>
      </c>
      <c r="J36" s="241">
        <v>0</v>
      </c>
      <c r="K36" s="241">
        <v>0</v>
      </c>
      <c r="L36" s="241">
        <v>0</v>
      </c>
      <c r="M36" s="241">
        <v>0</v>
      </c>
      <c r="N36" s="241">
        <v>0</v>
      </c>
      <c r="O36" s="241">
        <v>0</v>
      </c>
      <c r="P36" s="241">
        <v>0</v>
      </c>
      <c r="R36" s="233">
        <f>R35+1</f>
        <v>15</v>
      </c>
      <c r="S36" s="196" t="s">
        <v>647</v>
      </c>
    </row>
    <row r="37" spans="1:19" ht="16.95" customHeight="1" x14ac:dyDescent="0.25">
      <c r="A37" s="233">
        <f t="shared" si="0"/>
        <v>16</v>
      </c>
      <c r="B37" s="52" t="s">
        <v>246</v>
      </c>
      <c r="D37" s="248">
        <f>SUM(D33:D36)</f>
        <v>0</v>
      </c>
      <c r="E37" s="246">
        <f t="shared" ref="E37:P37" si="3">SUM(E33:E36)</f>
        <v>0</v>
      </c>
      <c r="F37" s="246">
        <f t="shared" si="3"/>
        <v>0</v>
      </c>
      <c r="G37" s="246">
        <f t="shared" si="3"/>
        <v>0</v>
      </c>
      <c r="H37" s="246">
        <f t="shared" si="3"/>
        <v>0</v>
      </c>
      <c r="I37" s="246">
        <f t="shared" si="3"/>
        <v>0</v>
      </c>
      <c r="J37" s="246">
        <f t="shared" si="3"/>
        <v>0</v>
      </c>
      <c r="K37" s="246">
        <f t="shared" si="3"/>
        <v>0</v>
      </c>
      <c r="L37" s="246">
        <f t="shared" si="3"/>
        <v>0</v>
      </c>
      <c r="M37" s="246">
        <f t="shared" si="3"/>
        <v>0</v>
      </c>
      <c r="N37" s="246">
        <f t="shared" si="3"/>
        <v>0</v>
      </c>
      <c r="O37" s="246">
        <f t="shared" si="3"/>
        <v>0</v>
      </c>
      <c r="P37" s="246">
        <f t="shared" si="3"/>
        <v>0</v>
      </c>
      <c r="R37" s="233">
        <f>R36+1</f>
        <v>16</v>
      </c>
      <c r="S37" s="242" t="s">
        <v>244</v>
      </c>
    </row>
    <row r="38" spans="1:19" ht="16.95" customHeight="1" x14ac:dyDescent="0.25">
      <c r="B38" s="174"/>
      <c r="D38" s="247"/>
      <c r="E38" s="247"/>
      <c r="F38" s="247"/>
      <c r="G38" s="247"/>
      <c r="H38" s="247"/>
      <c r="I38" s="247"/>
      <c r="J38" s="247"/>
      <c r="K38" s="247"/>
      <c r="L38" s="247"/>
      <c r="M38" s="247"/>
      <c r="N38" s="247"/>
      <c r="O38" s="247"/>
      <c r="P38" s="247"/>
    </row>
    <row r="39" spans="1:19" ht="16.95" customHeight="1" x14ac:dyDescent="0.25">
      <c r="A39" s="233">
        <f t="shared" si="0"/>
        <v>17</v>
      </c>
      <c r="B39" s="52" t="s">
        <v>247</v>
      </c>
      <c r="D39" s="246">
        <f>D25-D30-D37</f>
        <v>122920.41249999998</v>
      </c>
      <c r="E39" s="246">
        <f>E25-E30-E37</f>
        <v>317650</v>
      </c>
      <c r="F39" s="246">
        <f t="shared" ref="F39:P39" si="4">F25-F30-F37</f>
        <v>-72350</v>
      </c>
      <c r="G39" s="246">
        <f t="shared" si="4"/>
        <v>-72350</v>
      </c>
      <c r="H39" s="246">
        <f t="shared" si="4"/>
        <v>-72350</v>
      </c>
      <c r="I39" s="246">
        <f t="shared" si="4"/>
        <v>222649.99999999997</v>
      </c>
      <c r="J39" s="246">
        <f t="shared" si="4"/>
        <v>-22350</v>
      </c>
      <c r="K39" s="246">
        <f t="shared" si="4"/>
        <v>-22350</v>
      </c>
      <c r="L39" s="246">
        <f t="shared" si="4"/>
        <v>-72350</v>
      </c>
      <c r="M39" s="246">
        <f t="shared" si="4"/>
        <v>-72350</v>
      </c>
      <c r="N39" s="246">
        <f t="shared" si="4"/>
        <v>-72350</v>
      </c>
      <c r="O39" s="246">
        <f t="shared" si="4"/>
        <v>-72350</v>
      </c>
      <c r="P39" s="246">
        <f t="shared" si="4"/>
        <v>133770.41250000001</v>
      </c>
      <c r="R39" s="233">
        <f>R37+1</f>
        <v>17</v>
      </c>
      <c r="S39" s="242" t="s">
        <v>244</v>
      </c>
    </row>
    <row r="40" spans="1:19" ht="16.95" customHeight="1" x14ac:dyDescent="0.25">
      <c r="B40" s="174"/>
      <c r="D40" s="247"/>
      <c r="E40" s="247"/>
      <c r="F40" s="247"/>
      <c r="G40" s="247"/>
      <c r="H40" s="247"/>
      <c r="I40" s="247"/>
      <c r="J40" s="247"/>
      <c r="K40" s="247"/>
      <c r="L40" s="247"/>
      <c r="M40" s="247"/>
      <c r="N40" s="247"/>
      <c r="O40" s="247"/>
      <c r="P40" s="247"/>
    </row>
    <row r="41" spans="1:19" ht="16.95" customHeight="1" x14ac:dyDescent="0.25">
      <c r="A41" s="233">
        <f t="shared" si="0"/>
        <v>18</v>
      </c>
      <c r="B41" s="52" t="s">
        <v>248</v>
      </c>
      <c r="D41" s="246">
        <f>E41</f>
        <v>86400.000000000087</v>
      </c>
      <c r="E41" s="300">
        <f>'A3. Estimated Cash Flow Yr 0'!P42</f>
        <v>86400.000000000087</v>
      </c>
      <c r="F41" s="246">
        <f t="shared" ref="F41:P41" si="5">E42</f>
        <v>404050.00000000012</v>
      </c>
      <c r="G41" s="246">
        <f t="shared" si="5"/>
        <v>331700.00000000012</v>
      </c>
      <c r="H41" s="246">
        <f t="shared" si="5"/>
        <v>259350.00000000012</v>
      </c>
      <c r="I41" s="246">
        <f t="shared" si="5"/>
        <v>187000.00000000012</v>
      </c>
      <c r="J41" s="246">
        <f t="shared" si="5"/>
        <v>409650.00000000012</v>
      </c>
      <c r="K41" s="246">
        <f t="shared" si="5"/>
        <v>387300.00000000012</v>
      </c>
      <c r="L41" s="246">
        <f t="shared" si="5"/>
        <v>364950.00000000012</v>
      </c>
      <c r="M41" s="246">
        <f t="shared" si="5"/>
        <v>292600.00000000012</v>
      </c>
      <c r="N41" s="246">
        <f t="shared" si="5"/>
        <v>220250.00000000012</v>
      </c>
      <c r="O41" s="246">
        <f t="shared" si="5"/>
        <v>147900.00000000012</v>
      </c>
      <c r="P41" s="246">
        <f t="shared" si="5"/>
        <v>75550.000000000116</v>
      </c>
      <c r="R41" s="233">
        <f>R39+1</f>
        <v>18</v>
      </c>
      <c r="S41" s="253" t="s">
        <v>249</v>
      </c>
    </row>
    <row r="42" spans="1:19" ht="16.95" customHeight="1" x14ac:dyDescent="0.25">
      <c r="A42" s="233">
        <f t="shared" si="0"/>
        <v>20</v>
      </c>
      <c r="B42" s="52" t="s">
        <v>250</v>
      </c>
      <c r="D42" s="246">
        <f t="shared" ref="D42:P42" si="6">D39+D41</f>
        <v>209320.41250000006</v>
      </c>
      <c r="E42" s="246">
        <f>E39+E41</f>
        <v>404050.00000000012</v>
      </c>
      <c r="F42" s="246">
        <f t="shared" si="6"/>
        <v>331700.00000000012</v>
      </c>
      <c r="G42" s="246">
        <f t="shared" si="6"/>
        <v>259350.00000000012</v>
      </c>
      <c r="H42" s="246">
        <f t="shared" si="6"/>
        <v>187000.00000000012</v>
      </c>
      <c r="I42" s="246">
        <f t="shared" si="6"/>
        <v>409650.00000000012</v>
      </c>
      <c r="J42" s="246">
        <f t="shared" si="6"/>
        <v>387300.00000000012</v>
      </c>
      <c r="K42" s="246">
        <f t="shared" si="6"/>
        <v>364950.00000000012</v>
      </c>
      <c r="L42" s="246">
        <f t="shared" si="6"/>
        <v>292600.00000000012</v>
      </c>
      <c r="M42" s="246">
        <f t="shared" si="6"/>
        <v>220250.00000000012</v>
      </c>
      <c r="N42" s="246">
        <f t="shared" si="6"/>
        <v>147900.00000000012</v>
      </c>
      <c r="O42" s="246">
        <f t="shared" si="6"/>
        <v>75550.000000000116</v>
      </c>
      <c r="P42" s="246">
        <f t="shared" si="6"/>
        <v>209320.41250000012</v>
      </c>
      <c r="R42" s="233">
        <v>20</v>
      </c>
      <c r="S42" s="242" t="s">
        <v>244</v>
      </c>
    </row>
  </sheetData>
  <mergeCells count="1">
    <mergeCell ref="A4:P4"/>
  </mergeCells>
  <pageMargins left="0.7" right="0.7" top="0.75" bottom="0.75" header="0.3" footer="0.3"/>
  <pageSetup scale="46" orientation="portrait" r:id="rId1"/>
  <colBreaks count="1" manualBreakCount="1">
    <brk id="17" max="1048575" man="1"/>
  </colBreaks>
  <ignoredErrors>
    <ignoredError sqref="D25:P25" emptyCellReference="1"/>
    <ignoredError sqref="L2" numberStoredAsText="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42"/>
  <sheetViews>
    <sheetView zoomScale="50" zoomScaleNormal="50" workbookViewId="0">
      <selection sqref="A1:P42"/>
    </sheetView>
  </sheetViews>
  <sheetFormatPr defaultColWidth="8.77734375" defaultRowHeight="16.95" customHeight="1" outlineLevelCol="1" x14ac:dyDescent="0.25"/>
  <cols>
    <col min="1" max="1" width="8.77734375" style="173"/>
    <col min="2" max="2" width="53.77734375" style="174" bestFit="1" customWidth="1"/>
    <col min="3" max="3" width="2.109375" style="174" customWidth="1"/>
    <col min="4" max="4" width="9.77734375" style="174" customWidth="1"/>
    <col min="5" max="16" width="9.77734375" style="174" customWidth="1" outlineLevel="1"/>
    <col min="17" max="17" width="3.44140625" style="174" customWidth="1"/>
    <col min="18" max="18" width="6.77734375" style="173" customWidth="1"/>
    <col min="19" max="19" width="145.109375" style="175" customWidth="1"/>
    <col min="20" max="257" width="8.77734375" style="174"/>
    <col min="258" max="258" width="53.77734375" style="174" bestFit="1" customWidth="1"/>
    <col min="259" max="259" width="2.109375" style="174" customWidth="1"/>
    <col min="260" max="260" width="10" style="174" bestFit="1" customWidth="1"/>
    <col min="261" max="261" width="9.44140625" style="174" bestFit="1" customWidth="1"/>
    <col min="262" max="262" width="10" style="174" customWidth="1"/>
    <col min="263" max="263" width="11" style="174" customWidth="1"/>
    <col min="264" max="264" width="10" style="174" customWidth="1"/>
    <col min="265" max="266" width="10.33203125" style="174" customWidth="1"/>
    <col min="267" max="268" width="10" style="174" customWidth="1"/>
    <col min="269" max="272" width="9" style="174" bestFit="1" customWidth="1"/>
    <col min="273" max="273" width="3.44140625" style="174" customWidth="1"/>
    <col min="274" max="274" width="6.77734375" style="174" customWidth="1"/>
    <col min="275" max="275" width="55.44140625" style="174" customWidth="1"/>
    <col min="276" max="513" width="8.77734375" style="174"/>
    <col min="514" max="514" width="53.77734375" style="174" bestFit="1" customWidth="1"/>
    <col min="515" max="515" width="2.109375" style="174" customWidth="1"/>
    <col min="516" max="516" width="10" style="174" bestFit="1" customWidth="1"/>
    <col min="517" max="517" width="9.44140625" style="174" bestFit="1" customWidth="1"/>
    <col min="518" max="518" width="10" style="174" customWidth="1"/>
    <col min="519" max="519" width="11" style="174" customWidth="1"/>
    <col min="520" max="520" width="10" style="174" customWidth="1"/>
    <col min="521" max="522" width="10.33203125" style="174" customWidth="1"/>
    <col min="523" max="524" width="10" style="174" customWidth="1"/>
    <col min="525" max="528" width="9" style="174" bestFit="1" customWidth="1"/>
    <col min="529" max="529" width="3.44140625" style="174" customWidth="1"/>
    <col min="530" max="530" width="6.77734375" style="174" customWidth="1"/>
    <col min="531" max="531" width="55.44140625" style="174" customWidth="1"/>
    <col min="532" max="769" width="8.77734375" style="174"/>
    <col min="770" max="770" width="53.77734375" style="174" bestFit="1" customWidth="1"/>
    <col min="771" max="771" width="2.109375" style="174" customWidth="1"/>
    <col min="772" max="772" width="10" style="174" bestFit="1" customWidth="1"/>
    <col min="773" max="773" width="9.44140625" style="174" bestFit="1" customWidth="1"/>
    <col min="774" max="774" width="10" style="174" customWidth="1"/>
    <col min="775" max="775" width="11" style="174" customWidth="1"/>
    <col min="776" max="776" width="10" style="174" customWidth="1"/>
    <col min="777" max="778" width="10.33203125" style="174" customWidth="1"/>
    <col min="779" max="780" width="10" style="174" customWidth="1"/>
    <col min="781" max="784" width="9" style="174" bestFit="1" customWidth="1"/>
    <col min="785" max="785" width="3.44140625" style="174" customWidth="1"/>
    <col min="786" max="786" width="6.77734375" style="174" customWidth="1"/>
    <col min="787" max="787" width="55.44140625" style="174" customWidth="1"/>
    <col min="788" max="1025" width="8.77734375" style="174"/>
    <col min="1026" max="1026" width="53.77734375" style="174" bestFit="1" customWidth="1"/>
    <col min="1027" max="1027" width="2.109375" style="174" customWidth="1"/>
    <col min="1028" max="1028" width="10" style="174" bestFit="1" customWidth="1"/>
    <col min="1029" max="1029" width="9.44140625" style="174" bestFit="1" customWidth="1"/>
    <col min="1030" max="1030" width="10" style="174" customWidth="1"/>
    <col min="1031" max="1031" width="11" style="174" customWidth="1"/>
    <col min="1032" max="1032" width="10" style="174" customWidth="1"/>
    <col min="1033" max="1034" width="10.33203125" style="174" customWidth="1"/>
    <col min="1035" max="1036" width="10" style="174" customWidth="1"/>
    <col min="1037" max="1040" width="9" style="174" bestFit="1" customWidth="1"/>
    <col min="1041" max="1041" width="3.44140625" style="174" customWidth="1"/>
    <col min="1042" max="1042" width="6.77734375" style="174" customWidth="1"/>
    <col min="1043" max="1043" width="55.44140625" style="174" customWidth="1"/>
    <col min="1044" max="1281" width="8.77734375" style="174"/>
    <col min="1282" max="1282" width="53.77734375" style="174" bestFit="1" customWidth="1"/>
    <col min="1283" max="1283" width="2.109375" style="174" customWidth="1"/>
    <col min="1284" max="1284" width="10" style="174" bestFit="1" customWidth="1"/>
    <col min="1285" max="1285" width="9.44140625" style="174" bestFit="1" customWidth="1"/>
    <col min="1286" max="1286" width="10" style="174" customWidth="1"/>
    <col min="1287" max="1287" width="11" style="174" customWidth="1"/>
    <col min="1288" max="1288" width="10" style="174" customWidth="1"/>
    <col min="1289" max="1290" width="10.33203125" style="174" customWidth="1"/>
    <col min="1291" max="1292" width="10" style="174" customWidth="1"/>
    <col min="1293" max="1296" width="9" style="174" bestFit="1" customWidth="1"/>
    <col min="1297" max="1297" width="3.44140625" style="174" customWidth="1"/>
    <col min="1298" max="1298" width="6.77734375" style="174" customWidth="1"/>
    <col min="1299" max="1299" width="55.44140625" style="174" customWidth="1"/>
    <col min="1300" max="1537" width="8.77734375" style="174"/>
    <col min="1538" max="1538" width="53.77734375" style="174" bestFit="1" customWidth="1"/>
    <col min="1539" max="1539" width="2.109375" style="174" customWidth="1"/>
    <col min="1540" max="1540" width="10" style="174" bestFit="1" customWidth="1"/>
    <col min="1541" max="1541" width="9.44140625" style="174" bestFit="1" customWidth="1"/>
    <col min="1542" max="1542" width="10" style="174" customWidth="1"/>
    <col min="1543" max="1543" width="11" style="174" customWidth="1"/>
    <col min="1544" max="1544" width="10" style="174" customWidth="1"/>
    <col min="1545" max="1546" width="10.33203125" style="174" customWidth="1"/>
    <col min="1547" max="1548" width="10" style="174" customWidth="1"/>
    <col min="1549" max="1552" width="9" style="174" bestFit="1" customWidth="1"/>
    <col min="1553" max="1553" width="3.44140625" style="174" customWidth="1"/>
    <col min="1554" max="1554" width="6.77734375" style="174" customWidth="1"/>
    <col min="1555" max="1555" width="55.44140625" style="174" customWidth="1"/>
    <col min="1556" max="1793" width="8.77734375" style="174"/>
    <col min="1794" max="1794" width="53.77734375" style="174" bestFit="1" customWidth="1"/>
    <col min="1795" max="1795" width="2.109375" style="174" customWidth="1"/>
    <col min="1796" max="1796" width="10" style="174" bestFit="1" customWidth="1"/>
    <col min="1797" max="1797" width="9.44140625" style="174" bestFit="1" customWidth="1"/>
    <col min="1798" max="1798" width="10" style="174" customWidth="1"/>
    <col min="1799" max="1799" width="11" style="174" customWidth="1"/>
    <col min="1800" max="1800" width="10" style="174" customWidth="1"/>
    <col min="1801" max="1802" width="10.33203125" style="174" customWidth="1"/>
    <col min="1803" max="1804" width="10" style="174" customWidth="1"/>
    <col min="1805" max="1808" width="9" style="174" bestFit="1" customWidth="1"/>
    <col min="1809" max="1809" width="3.44140625" style="174" customWidth="1"/>
    <col min="1810" max="1810" width="6.77734375" style="174" customWidth="1"/>
    <col min="1811" max="1811" width="55.44140625" style="174" customWidth="1"/>
    <col min="1812" max="2049" width="8.77734375" style="174"/>
    <col min="2050" max="2050" width="53.77734375" style="174" bestFit="1" customWidth="1"/>
    <col min="2051" max="2051" width="2.109375" style="174" customWidth="1"/>
    <col min="2052" max="2052" width="10" style="174" bestFit="1" customWidth="1"/>
    <col min="2053" max="2053" width="9.44140625" style="174" bestFit="1" customWidth="1"/>
    <col min="2054" max="2054" width="10" style="174" customWidth="1"/>
    <col min="2055" max="2055" width="11" style="174" customWidth="1"/>
    <col min="2056" max="2056" width="10" style="174" customWidth="1"/>
    <col min="2057" max="2058" width="10.33203125" style="174" customWidth="1"/>
    <col min="2059" max="2060" width="10" style="174" customWidth="1"/>
    <col min="2061" max="2064" width="9" style="174" bestFit="1" customWidth="1"/>
    <col min="2065" max="2065" width="3.44140625" style="174" customWidth="1"/>
    <col min="2066" max="2066" width="6.77734375" style="174" customWidth="1"/>
    <col min="2067" max="2067" width="55.44140625" style="174" customWidth="1"/>
    <col min="2068" max="2305" width="8.77734375" style="174"/>
    <col min="2306" max="2306" width="53.77734375" style="174" bestFit="1" customWidth="1"/>
    <col min="2307" max="2307" width="2.109375" style="174" customWidth="1"/>
    <col min="2308" max="2308" width="10" style="174" bestFit="1" customWidth="1"/>
    <col min="2309" max="2309" width="9.44140625" style="174" bestFit="1" customWidth="1"/>
    <col min="2310" max="2310" width="10" style="174" customWidth="1"/>
    <col min="2311" max="2311" width="11" style="174" customWidth="1"/>
    <col min="2312" max="2312" width="10" style="174" customWidth="1"/>
    <col min="2313" max="2314" width="10.33203125" style="174" customWidth="1"/>
    <col min="2315" max="2316" width="10" style="174" customWidth="1"/>
    <col min="2317" max="2320" width="9" style="174" bestFit="1" customWidth="1"/>
    <col min="2321" max="2321" width="3.44140625" style="174" customWidth="1"/>
    <col min="2322" max="2322" width="6.77734375" style="174" customWidth="1"/>
    <col min="2323" max="2323" width="55.44140625" style="174" customWidth="1"/>
    <col min="2324" max="2561" width="8.77734375" style="174"/>
    <col min="2562" max="2562" width="53.77734375" style="174" bestFit="1" customWidth="1"/>
    <col min="2563" max="2563" width="2.109375" style="174" customWidth="1"/>
    <col min="2564" max="2564" width="10" style="174" bestFit="1" customWidth="1"/>
    <col min="2565" max="2565" width="9.44140625" style="174" bestFit="1" customWidth="1"/>
    <col min="2566" max="2566" width="10" style="174" customWidth="1"/>
    <col min="2567" max="2567" width="11" style="174" customWidth="1"/>
    <col min="2568" max="2568" width="10" style="174" customWidth="1"/>
    <col min="2569" max="2570" width="10.33203125" style="174" customWidth="1"/>
    <col min="2571" max="2572" width="10" style="174" customWidth="1"/>
    <col min="2573" max="2576" width="9" style="174" bestFit="1" customWidth="1"/>
    <col min="2577" max="2577" width="3.44140625" style="174" customWidth="1"/>
    <col min="2578" max="2578" width="6.77734375" style="174" customWidth="1"/>
    <col min="2579" max="2579" width="55.44140625" style="174" customWidth="1"/>
    <col min="2580" max="2817" width="8.77734375" style="174"/>
    <col min="2818" max="2818" width="53.77734375" style="174" bestFit="1" customWidth="1"/>
    <col min="2819" max="2819" width="2.109375" style="174" customWidth="1"/>
    <col min="2820" max="2820" width="10" style="174" bestFit="1" customWidth="1"/>
    <col min="2821" max="2821" width="9.44140625" style="174" bestFit="1" customWidth="1"/>
    <col min="2822" max="2822" width="10" style="174" customWidth="1"/>
    <col min="2823" max="2823" width="11" style="174" customWidth="1"/>
    <col min="2824" max="2824" width="10" style="174" customWidth="1"/>
    <col min="2825" max="2826" width="10.33203125" style="174" customWidth="1"/>
    <col min="2827" max="2828" width="10" style="174" customWidth="1"/>
    <col min="2829" max="2832" width="9" style="174" bestFit="1" customWidth="1"/>
    <col min="2833" max="2833" width="3.44140625" style="174" customWidth="1"/>
    <col min="2834" max="2834" width="6.77734375" style="174" customWidth="1"/>
    <col min="2835" max="2835" width="55.44140625" style="174" customWidth="1"/>
    <col min="2836" max="3073" width="8.77734375" style="174"/>
    <col min="3074" max="3074" width="53.77734375" style="174" bestFit="1" customWidth="1"/>
    <col min="3075" max="3075" width="2.109375" style="174" customWidth="1"/>
    <col min="3076" max="3076" width="10" style="174" bestFit="1" customWidth="1"/>
    <col min="3077" max="3077" width="9.44140625" style="174" bestFit="1" customWidth="1"/>
    <col min="3078" max="3078" width="10" style="174" customWidth="1"/>
    <col min="3079" max="3079" width="11" style="174" customWidth="1"/>
    <col min="3080" max="3080" width="10" style="174" customWidth="1"/>
    <col min="3081" max="3082" width="10.33203125" style="174" customWidth="1"/>
    <col min="3083" max="3084" width="10" style="174" customWidth="1"/>
    <col min="3085" max="3088" width="9" style="174" bestFit="1" customWidth="1"/>
    <col min="3089" max="3089" width="3.44140625" style="174" customWidth="1"/>
    <col min="3090" max="3090" width="6.77734375" style="174" customWidth="1"/>
    <col min="3091" max="3091" width="55.44140625" style="174" customWidth="1"/>
    <col min="3092" max="3329" width="8.77734375" style="174"/>
    <col min="3330" max="3330" width="53.77734375" style="174" bestFit="1" customWidth="1"/>
    <col min="3331" max="3331" width="2.109375" style="174" customWidth="1"/>
    <col min="3332" max="3332" width="10" style="174" bestFit="1" customWidth="1"/>
    <col min="3333" max="3333" width="9.44140625" style="174" bestFit="1" customWidth="1"/>
    <col min="3334" max="3334" width="10" style="174" customWidth="1"/>
    <col min="3335" max="3335" width="11" style="174" customWidth="1"/>
    <col min="3336" max="3336" width="10" style="174" customWidth="1"/>
    <col min="3337" max="3338" width="10.33203125" style="174" customWidth="1"/>
    <col min="3339" max="3340" width="10" style="174" customWidth="1"/>
    <col min="3341" max="3344" width="9" style="174" bestFit="1" customWidth="1"/>
    <col min="3345" max="3345" width="3.44140625" style="174" customWidth="1"/>
    <col min="3346" max="3346" width="6.77734375" style="174" customWidth="1"/>
    <col min="3347" max="3347" width="55.44140625" style="174" customWidth="1"/>
    <col min="3348" max="3585" width="8.77734375" style="174"/>
    <col min="3586" max="3586" width="53.77734375" style="174" bestFit="1" customWidth="1"/>
    <col min="3587" max="3587" width="2.109375" style="174" customWidth="1"/>
    <col min="3588" max="3588" width="10" style="174" bestFit="1" customWidth="1"/>
    <col min="3589" max="3589" width="9.44140625" style="174" bestFit="1" customWidth="1"/>
    <col min="3590" max="3590" width="10" style="174" customWidth="1"/>
    <col min="3591" max="3591" width="11" style="174" customWidth="1"/>
    <col min="3592" max="3592" width="10" style="174" customWidth="1"/>
    <col min="3593" max="3594" width="10.33203125" style="174" customWidth="1"/>
    <col min="3595" max="3596" width="10" style="174" customWidth="1"/>
    <col min="3597" max="3600" width="9" style="174" bestFit="1" customWidth="1"/>
    <col min="3601" max="3601" width="3.44140625" style="174" customWidth="1"/>
    <col min="3602" max="3602" width="6.77734375" style="174" customWidth="1"/>
    <col min="3603" max="3603" width="55.44140625" style="174" customWidth="1"/>
    <col min="3604" max="3841" width="8.77734375" style="174"/>
    <col min="3842" max="3842" width="53.77734375" style="174" bestFit="1" customWidth="1"/>
    <col min="3843" max="3843" width="2.109375" style="174" customWidth="1"/>
    <col min="3844" max="3844" width="10" style="174" bestFit="1" customWidth="1"/>
    <col min="3845" max="3845" width="9.44140625" style="174" bestFit="1" customWidth="1"/>
    <col min="3846" max="3846" width="10" style="174" customWidth="1"/>
    <col min="3847" max="3847" width="11" style="174" customWidth="1"/>
    <col min="3848" max="3848" width="10" style="174" customWidth="1"/>
    <col min="3849" max="3850" width="10.33203125" style="174" customWidth="1"/>
    <col min="3851" max="3852" width="10" style="174" customWidth="1"/>
    <col min="3853" max="3856" width="9" style="174" bestFit="1" customWidth="1"/>
    <col min="3857" max="3857" width="3.44140625" style="174" customWidth="1"/>
    <col min="3858" max="3858" width="6.77734375" style="174" customWidth="1"/>
    <col min="3859" max="3859" width="55.44140625" style="174" customWidth="1"/>
    <col min="3860" max="4097" width="8.77734375" style="174"/>
    <col min="4098" max="4098" width="53.77734375" style="174" bestFit="1" customWidth="1"/>
    <col min="4099" max="4099" width="2.109375" style="174" customWidth="1"/>
    <col min="4100" max="4100" width="10" style="174" bestFit="1" customWidth="1"/>
    <col min="4101" max="4101" width="9.44140625" style="174" bestFit="1" customWidth="1"/>
    <col min="4102" max="4102" width="10" style="174" customWidth="1"/>
    <col min="4103" max="4103" width="11" style="174" customWidth="1"/>
    <col min="4104" max="4104" width="10" style="174" customWidth="1"/>
    <col min="4105" max="4106" width="10.33203125" style="174" customWidth="1"/>
    <col min="4107" max="4108" width="10" style="174" customWidth="1"/>
    <col min="4109" max="4112" width="9" style="174" bestFit="1" customWidth="1"/>
    <col min="4113" max="4113" width="3.44140625" style="174" customWidth="1"/>
    <col min="4114" max="4114" width="6.77734375" style="174" customWidth="1"/>
    <col min="4115" max="4115" width="55.44140625" style="174" customWidth="1"/>
    <col min="4116" max="4353" width="8.77734375" style="174"/>
    <col min="4354" max="4354" width="53.77734375" style="174" bestFit="1" customWidth="1"/>
    <col min="4355" max="4355" width="2.109375" style="174" customWidth="1"/>
    <col min="4356" max="4356" width="10" style="174" bestFit="1" customWidth="1"/>
    <col min="4357" max="4357" width="9.44140625" style="174" bestFit="1" customWidth="1"/>
    <col min="4358" max="4358" width="10" style="174" customWidth="1"/>
    <col min="4359" max="4359" width="11" style="174" customWidth="1"/>
    <col min="4360" max="4360" width="10" style="174" customWidth="1"/>
    <col min="4361" max="4362" width="10.33203125" style="174" customWidth="1"/>
    <col min="4363" max="4364" width="10" style="174" customWidth="1"/>
    <col min="4365" max="4368" width="9" style="174" bestFit="1" customWidth="1"/>
    <col min="4369" max="4369" width="3.44140625" style="174" customWidth="1"/>
    <col min="4370" max="4370" width="6.77734375" style="174" customWidth="1"/>
    <col min="4371" max="4371" width="55.44140625" style="174" customWidth="1"/>
    <col min="4372" max="4609" width="8.77734375" style="174"/>
    <col min="4610" max="4610" width="53.77734375" style="174" bestFit="1" customWidth="1"/>
    <col min="4611" max="4611" width="2.109375" style="174" customWidth="1"/>
    <col min="4612" max="4612" width="10" style="174" bestFit="1" customWidth="1"/>
    <col min="4613" max="4613" width="9.44140625" style="174" bestFit="1" customWidth="1"/>
    <col min="4614" max="4614" width="10" style="174" customWidth="1"/>
    <col min="4615" max="4615" width="11" style="174" customWidth="1"/>
    <col min="4616" max="4616" width="10" style="174" customWidth="1"/>
    <col min="4617" max="4618" width="10.33203125" style="174" customWidth="1"/>
    <col min="4619" max="4620" width="10" style="174" customWidth="1"/>
    <col min="4621" max="4624" width="9" style="174" bestFit="1" customWidth="1"/>
    <col min="4625" max="4625" width="3.44140625" style="174" customWidth="1"/>
    <col min="4626" max="4626" width="6.77734375" style="174" customWidth="1"/>
    <col min="4627" max="4627" width="55.44140625" style="174" customWidth="1"/>
    <col min="4628" max="4865" width="8.77734375" style="174"/>
    <col min="4866" max="4866" width="53.77734375" style="174" bestFit="1" customWidth="1"/>
    <col min="4867" max="4867" width="2.109375" style="174" customWidth="1"/>
    <col min="4868" max="4868" width="10" style="174" bestFit="1" customWidth="1"/>
    <col min="4869" max="4869" width="9.44140625" style="174" bestFit="1" customWidth="1"/>
    <col min="4870" max="4870" width="10" style="174" customWidth="1"/>
    <col min="4871" max="4871" width="11" style="174" customWidth="1"/>
    <col min="4872" max="4872" width="10" style="174" customWidth="1"/>
    <col min="4873" max="4874" width="10.33203125" style="174" customWidth="1"/>
    <col min="4875" max="4876" width="10" style="174" customWidth="1"/>
    <col min="4877" max="4880" width="9" style="174" bestFit="1" customWidth="1"/>
    <col min="4881" max="4881" width="3.44140625" style="174" customWidth="1"/>
    <col min="4882" max="4882" width="6.77734375" style="174" customWidth="1"/>
    <col min="4883" max="4883" width="55.44140625" style="174" customWidth="1"/>
    <col min="4884" max="5121" width="8.77734375" style="174"/>
    <col min="5122" max="5122" width="53.77734375" style="174" bestFit="1" customWidth="1"/>
    <col min="5123" max="5123" width="2.109375" style="174" customWidth="1"/>
    <col min="5124" max="5124" width="10" style="174" bestFit="1" customWidth="1"/>
    <col min="5125" max="5125" width="9.44140625" style="174" bestFit="1" customWidth="1"/>
    <col min="5126" max="5126" width="10" style="174" customWidth="1"/>
    <col min="5127" max="5127" width="11" style="174" customWidth="1"/>
    <col min="5128" max="5128" width="10" style="174" customWidth="1"/>
    <col min="5129" max="5130" width="10.33203125" style="174" customWidth="1"/>
    <col min="5131" max="5132" width="10" style="174" customWidth="1"/>
    <col min="5133" max="5136" width="9" style="174" bestFit="1" customWidth="1"/>
    <col min="5137" max="5137" width="3.44140625" style="174" customWidth="1"/>
    <col min="5138" max="5138" width="6.77734375" style="174" customWidth="1"/>
    <col min="5139" max="5139" width="55.44140625" style="174" customWidth="1"/>
    <col min="5140" max="5377" width="8.77734375" style="174"/>
    <col min="5378" max="5378" width="53.77734375" style="174" bestFit="1" customWidth="1"/>
    <col min="5379" max="5379" width="2.109375" style="174" customWidth="1"/>
    <col min="5380" max="5380" width="10" style="174" bestFit="1" customWidth="1"/>
    <col min="5381" max="5381" width="9.44140625" style="174" bestFit="1" customWidth="1"/>
    <col min="5382" max="5382" width="10" style="174" customWidth="1"/>
    <col min="5383" max="5383" width="11" style="174" customWidth="1"/>
    <col min="5384" max="5384" width="10" style="174" customWidth="1"/>
    <col min="5385" max="5386" width="10.33203125" style="174" customWidth="1"/>
    <col min="5387" max="5388" width="10" style="174" customWidth="1"/>
    <col min="5389" max="5392" width="9" style="174" bestFit="1" customWidth="1"/>
    <col min="5393" max="5393" width="3.44140625" style="174" customWidth="1"/>
    <col min="5394" max="5394" width="6.77734375" style="174" customWidth="1"/>
    <col min="5395" max="5395" width="55.44140625" style="174" customWidth="1"/>
    <col min="5396" max="5633" width="8.77734375" style="174"/>
    <col min="5634" max="5634" width="53.77734375" style="174" bestFit="1" customWidth="1"/>
    <col min="5635" max="5635" width="2.109375" style="174" customWidth="1"/>
    <col min="5636" max="5636" width="10" style="174" bestFit="1" customWidth="1"/>
    <col min="5637" max="5637" width="9.44140625" style="174" bestFit="1" customWidth="1"/>
    <col min="5638" max="5638" width="10" style="174" customWidth="1"/>
    <col min="5639" max="5639" width="11" style="174" customWidth="1"/>
    <col min="5640" max="5640" width="10" style="174" customWidth="1"/>
    <col min="5641" max="5642" width="10.33203125" style="174" customWidth="1"/>
    <col min="5643" max="5644" width="10" style="174" customWidth="1"/>
    <col min="5645" max="5648" width="9" style="174" bestFit="1" customWidth="1"/>
    <col min="5649" max="5649" width="3.44140625" style="174" customWidth="1"/>
    <col min="5650" max="5650" width="6.77734375" style="174" customWidth="1"/>
    <col min="5651" max="5651" width="55.44140625" style="174" customWidth="1"/>
    <col min="5652" max="5889" width="8.77734375" style="174"/>
    <col min="5890" max="5890" width="53.77734375" style="174" bestFit="1" customWidth="1"/>
    <col min="5891" max="5891" width="2.109375" style="174" customWidth="1"/>
    <col min="5892" max="5892" width="10" style="174" bestFit="1" customWidth="1"/>
    <col min="5893" max="5893" width="9.44140625" style="174" bestFit="1" customWidth="1"/>
    <col min="5894" max="5894" width="10" style="174" customWidth="1"/>
    <col min="5895" max="5895" width="11" style="174" customWidth="1"/>
    <col min="5896" max="5896" width="10" style="174" customWidth="1"/>
    <col min="5897" max="5898" width="10.33203125" style="174" customWidth="1"/>
    <col min="5899" max="5900" width="10" style="174" customWidth="1"/>
    <col min="5901" max="5904" width="9" style="174" bestFit="1" customWidth="1"/>
    <col min="5905" max="5905" width="3.44140625" style="174" customWidth="1"/>
    <col min="5906" max="5906" width="6.77734375" style="174" customWidth="1"/>
    <col min="5907" max="5907" width="55.44140625" style="174" customWidth="1"/>
    <col min="5908" max="6145" width="8.77734375" style="174"/>
    <col min="6146" max="6146" width="53.77734375" style="174" bestFit="1" customWidth="1"/>
    <col min="6147" max="6147" width="2.109375" style="174" customWidth="1"/>
    <col min="6148" max="6148" width="10" style="174" bestFit="1" customWidth="1"/>
    <col min="6149" max="6149" width="9.44140625" style="174" bestFit="1" customWidth="1"/>
    <col min="6150" max="6150" width="10" style="174" customWidth="1"/>
    <col min="6151" max="6151" width="11" style="174" customWidth="1"/>
    <col min="6152" max="6152" width="10" style="174" customWidth="1"/>
    <col min="6153" max="6154" width="10.33203125" style="174" customWidth="1"/>
    <col min="6155" max="6156" width="10" style="174" customWidth="1"/>
    <col min="6157" max="6160" width="9" style="174" bestFit="1" customWidth="1"/>
    <col min="6161" max="6161" width="3.44140625" style="174" customWidth="1"/>
    <col min="6162" max="6162" width="6.77734375" style="174" customWidth="1"/>
    <col min="6163" max="6163" width="55.44140625" style="174" customWidth="1"/>
    <col min="6164" max="6401" width="8.77734375" style="174"/>
    <col min="6402" max="6402" width="53.77734375" style="174" bestFit="1" customWidth="1"/>
    <col min="6403" max="6403" width="2.109375" style="174" customWidth="1"/>
    <col min="6404" max="6404" width="10" style="174" bestFit="1" customWidth="1"/>
    <col min="6405" max="6405" width="9.44140625" style="174" bestFit="1" customWidth="1"/>
    <col min="6406" max="6406" width="10" style="174" customWidth="1"/>
    <col min="6407" max="6407" width="11" style="174" customWidth="1"/>
    <col min="6408" max="6408" width="10" style="174" customWidth="1"/>
    <col min="6409" max="6410" width="10.33203125" style="174" customWidth="1"/>
    <col min="6411" max="6412" width="10" style="174" customWidth="1"/>
    <col min="6413" max="6416" width="9" style="174" bestFit="1" customWidth="1"/>
    <col min="6417" max="6417" width="3.44140625" style="174" customWidth="1"/>
    <col min="6418" max="6418" width="6.77734375" style="174" customWidth="1"/>
    <col min="6419" max="6419" width="55.44140625" style="174" customWidth="1"/>
    <col min="6420" max="6657" width="8.77734375" style="174"/>
    <col min="6658" max="6658" width="53.77734375" style="174" bestFit="1" customWidth="1"/>
    <col min="6659" max="6659" width="2.109375" style="174" customWidth="1"/>
    <col min="6660" max="6660" width="10" style="174" bestFit="1" customWidth="1"/>
    <col min="6661" max="6661" width="9.44140625" style="174" bestFit="1" customWidth="1"/>
    <col min="6662" max="6662" width="10" style="174" customWidth="1"/>
    <col min="6663" max="6663" width="11" style="174" customWidth="1"/>
    <col min="6664" max="6664" width="10" style="174" customWidth="1"/>
    <col min="6665" max="6666" width="10.33203125" style="174" customWidth="1"/>
    <col min="6667" max="6668" width="10" style="174" customWidth="1"/>
    <col min="6669" max="6672" width="9" style="174" bestFit="1" customWidth="1"/>
    <col min="6673" max="6673" width="3.44140625" style="174" customWidth="1"/>
    <col min="6674" max="6674" width="6.77734375" style="174" customWidth="1"/>
    <col min="6675" max="6675" width="55.44140625" style="174" customWidth="1"/>
    <col min="6676" max="6913" width="8.77734375" style="174"/>
    <col min="6914" max="6914" width="53.77734375" style="174" bestFit="1" customWidth="1"/>
    <col min="6915" max="6915" width="2.109375" style="174" customWidth="1"/>
    <col min="6916" max="6916" width="10" style="174" bestFit="1" customWidth="1"/>
    <col min="6917" max="6917" width="9.44140625" style="174" bestFit="1" customWidth="1"/>
    <col min="6918" max="6918" width="10" style="174" customWidth="1"/>
    <col min="6919" max="6919" width="11" style="174" customWidth="1"/>
    <col min="6920" max="6920" width="10" style="174" customWidth="1"/>
    <col min="6921" max="6922" width="10.33203125" style="174" customWidth="1"/>
    <col min="6923" max="6924" width="10" style="174" customWidth="1"/>
    <col min="6925" max="6928" width="9" style="174" bestFit="1" customWidth="1"/>
    <col min="6929" max="6929" width="3.44140625" style="174" customWidth="1"/>
    <col min="6930" max="6930" width="6.77734375" style="174" customWidth="1"/>
    <col min="6931" max="6931" width="55.44140625" style="174" customWidth="1"/>
    <col min="6932" max="7169" width="8.77734375" style="174"/>
    <col min="7170" max="7170" width="53.77734375" style="174" bestFit="1" customWidth="1"/>
    <col min="7171" max="7171" width="2.109375" style="174" customWidth="1"/>
    <col min="7172" max="7172" width="10" style="174" bestFit="1" customWidth="1"/>
    <col min="7173" max="7173" width="9.44140625" style="174" bestFit="1" customWidth="1"/>
    <col min="7174" max="7174" width="10" style="174" customWidth="1"/>
    <col min="7175" max="7175" width="11" style="174" customWidth="1"/>
    <col min="7176" max="7176" width="10" style="174" customWidth="1"/>
    <col min="7177" max="7178" width="10.33203125" style="174" customWidth="1"/>
    <col min="7179" max="7180" width="10" style="174" customWidth="1"/>
    <col min="7181" max="7184" width="9" style="174" bestFit="1" customWidth="1"/>
    <col min="7185" max="7185" width="3.44140625" style="174" customWidth="1"/>
    <col min="7186" max="7186" width="6.77734375" style="174" customWidth="1"/>
    <col min="7187" max="7187" width="55.44140625" style="174" customWidth="1"/>
    <col min="7188" max="7425" width="8.77734375" style="174"/>
    <col min="7426" max="7426" width="53.77734375" style="174" bestFit="1" customWidth="1"/>
    <col min="7427" max="7427" width="2.109375" style="174" customWidth="1"/>
    <col min="7428" max="7428" width="10" style="174" bestFit="1" customWidth="1"/>
    <col min="7429" max="7429" width="9.44140625" style="174" bestFit="1" customWidth="1"/>
    <col min="7430" max="7430" width="10" style="174" customWidth="1"/>
    <col min="7431" max="7431" width="11" style="174" customWidth="1"/>
    <col min="7432" max="7432" width="10" style="174" customWidth="1"/>
    <col min="7433" max="7434" width="10.33203125" style="174" customWidth="1"/>
    <col min="7435" max="7436" width="10" style="174" customWidth="1"/>
    <col min="7437" max="7440" width="9" style="174" bestFit="1" customWidth="1"/>
    <col min="7441" max="7441" width="3.44140625" style="174" customWidth="1"/>
    <col min="7442" max="7442" width="6.77734375" style="174" customWidth="1"/>
    <col min="7443" max="7443" width="55.44140625" style="174" customWidth="1"/>
    <col min="7444" max="7681" width="8.77734375" style="174"/>
    <col min="7682" max="7682" width="53.77734375" style="174" bestFit="1" customWidth="1"/>
    <col min="7683" max="7683" width="2.109375" style="174" customWidth="1"/>
    <col min="7684" max="7684" width="10" style="174" bestFit="1" customWidth="1"/>
    <col min="7685" max="7685" width="9.44140625" style="174" bestFit="1" customWidth="1"/>
    <col min="7686" max="7686" width="10" style="174" customWidth="1"/>
    <col min="7687" max="7687" width="11" style="174" customWidth="1"/>
    <col min="7688" max="7688" width="10" style="174" customWidth="1"/>
    <col min="7689" max="7690" width="10.33203125" style="174" customWidth="1"/>
    <col min="7691" max="7692" width="10" style="174" customWidth="1"/>
    <col min="7693" max="7696" width="9" style="174" bestFit="1" customWidth="1"/>
    <col min="7697" max="7697" width="3.44140625" style="174" customWidth="1"/>
    <col min="7698" max="7698" width="6.77734375" style="174" customWidth="1"/>
    <col min="7699" max="7699" width="55.44140625" style="174" customWidth="1"/>
    <col min="7700" max="7937" width="8.77734375" style="174"/>
    <col min="7938" max="7938" width="53.77734375" style="174" bestFit="1" customWidth="1"/>
    <col min="7939" max="7939" width="2.109375" style="174" customWidth="1"/>
    <col min="7940" max="7940" width="10" style="174" bestFit="1" customWidth="1"/>
    <col min="7941" max="7941" width="9.44140625" style="174" bestFit="1" customWidth="1"/>
    <col min="7942" max="7942" width="10" style="174" customWidth="1"/>
    <col min="7943" max="7943" width="11" style="174" customWidth="1"/>
    <col min="7944" max="7944" width="10" style="174" customWidth="1"/>
    <col min="7945" max="7946" width="10.33203125" style="174" customWidth="1"/>
    <col min="7947" max="7948" width="10" style="174" customWidth="1"/>
    <col min="7949" max="7952" width="9" style="174" bestFit="1" customWidth="1"/>
    <col min="7953" max="7953" width="3.44140625" style="174" customWidth="1"/>
    <col min="7954" max="7954" width="6.77734375" style="174" customWidth="1"/>
    <col min="7955" max="7955" width="55.44140625" style="174" customWidth="1"/>
    <col min="7956" max="8193" width="8.77734375" style="174"/>
    <col min="8194" max="8194" width="53.77734375" style="174" bestFit="1" customWidth="1"/>
    <col min="8195" max="8195" width="2.109375" style="174" customWidth="1"/>
    <col min="8196" max="8196" width="10" style="174" bestFit="1" customWidth="1"/>
    <col min="8197" max="8197" width="9.44140625" style="174" bestFit="1" customWidth="1"/>
    <col min="8198" max="8198" width="10" style="174" customWidth="1"/>
    <col min="8199" max="8199" width="11" style="174" customWidth="1"/>
    <col min="8200" max="8200" width="10" style="174" customWidth="1"/>
    <col min="8201" max="8202" width="10.33203125" style="174" customWidth="1"/>
    <col min="8203" max="8204" width="10" style="174" customWidth="1"/>
    <col min="8205" max="8208" width="9" style="174" bestFit="1" customWidth="1"/>
    <col min="8209" max="8209" width="3.44140625" style="174" customWidth="1"/>
    <col min="8210" max="8210" width="6.77734375" style="174" customWidth="1"/>
    <col min="8211" max="8211" width="55.44140625" style="174" customWidth="1"/>
    <col min="8212" max="8449" width="8.77734375" style="174"/>
    <col min="8450" max="8450" width="53.77734375" style="174" bestFit="1" customWidth="1"/>
    <col min="8451" max="8451" width="2.109375" style="174" customWidth="1"/>
    <col min="8452" max="8452" width="10" style="174" bestFit="1" customWidth="1"/>
    <col min="8453" max="8453" width="9.44140625" style="174" bestFit="1" customWidth="1"/>
    <col min="8454" max="8454" width="10" style="174" customWidth="1"/>
    <col min="8455" max="8455" width="11" style="174" customWidth="1"/>
    <col min="8456" max="8456" width="10" style="174" customWidth="1"/>
    <col min="8457" max="8458" width="10.33203125" style="174" customWidth="1"/>
    <col min="8459" max="8460" width="10" style="174" customWidth="1"/>
    <col min="8461" max="8464" width="9" style="174" bestFit="1" customWidth="1"/>
    <col min="8465" max="8465" width="3.44140625" style="174" customWidth="1"/>
    <col min="8466" max="8466" width="6.77734375" style="174" customWidth="1"/>
    <col min="8467" max="8467" width="55.44140625" style="174" customWidth="1"/>
    <col min="8468" max="8705" width="8.77734375" style="174"/>
    <col min="8706" max="8706" width="53.77734375" style="174" bestFit="1" customWidth="1"/>
    <col min="8707" max="8707" width="2.109375" style="174" customWidth="1"/>
    <col min="8708" max="8708" width="10" style="174" bestFit="1" customWidth="1"/>
    <col min="8709" max="8709" width="9.44140625" style="174" bestFit="1" customWidth="1"/>
    <col min="8710" max="8710" width="10" style="174" customWidth="1"/>
    <col min="8711" max="8711" width="11" style="174" customWidth="1"/>
    <col min="8712" max="8712" width="10" style="174" customWidth="1"/>
    <col min="8713" max="8714" width="10.33203125" style="174" customWidth="1"/>
    <col min="8715" max="8716" width="10" style="174" customWidth="1"/>
    <col min="8717" max="8720" width="9" style="174" bestFit="1" customWidth="1"/>
    <col min="8721" max="8721" width="3.44140625" style="174" customWidth="1"/>
    <col min="8722" max="8722" width="6.77734375" style="174" customWidth="1"/>
    <col min="8723" max="8723" width="55.44140625" style="174" customWidth="1"/>
    <col min="8724" max="8961" width="8.77734375" style="174"/>
    <col min="8962" max="8962" width="53.77734375" style="174" bestFit="1" customWidth="1"/>
    <col min="8963" max="8963" width="2.109375" style="174" customWidth="1"/>
    <col min="8964" max="8964" width="10" style="174" bestFit="1" customWidth="1"/>
    <col min="8965" max="8965" width="9.44140625" style="174" bestFit="1" customWidth="1"/>
    <col min="8966" max="8966" width="10" style="174" customWidth="1"/>
    <col min="8967" max="8967" width="11" style="174" customWidth="1"/>
    <col min="8968" max="8968" width="10" style="174" customWidth="1"/>
    <col min="8969" max="8970" width="10.33203125" style="174" customWidth="1"/>
    <col min="8971" max="8972" width="10" style="174" customWidth="1"/>
    <col min="8973" max="8976" width="9" style="174" bestFit="1" customWidth="1"/>
    <col min="8977" max="8977" width="3.44140625" style="174" customWidth="1"/>
    <col min="8978" max="8978" width="6.77734375" style="174" customWidth="1"/>
    <col min="8979" max="8979" width="55.44140625" style="174" customWidth="1"/>
    <col min="8980" max="9217" width="8.77734375" style="174"/>
    <col min="9218" max="9218" width="53.77734375" style="174" bestFit="1" customWidth="1"/>
    <col min="9219" max="9219" width="2.109375" style="174" customWidth="1"/>
    <col min="9220" max="9220" width="10" style="174" bestFit="1" customWidth="1"/>
    <col min="9221" max="9221" width="9.44140625" style="174" bestFit="1" customWidth="1"/>
    <col min="9222" max="9222" width="10" style="174" customWidth="1"/>
    <col min="9223" max="9223" width="11" style="174" customWidth="1"/>
    <col min="9224" max="9224" width="10" style="174" customWidth="1"/>
    <col min="9225" max="9226" width="10.33203125" style="174" customWidth="1"/>
    <col min="9227" max="9228" width="10" style="174" customWidth="1"/>
    <col min="9229" max="9232" width="9" style="174" bestFit="1" customWidth="1"/>
    <col min="9233" max="9233" width="3.44140625" style="174" customWidth="1"/>
    <col min="9234" max="9234" width="6.77734375" style="174" customWidth="1"/>
    <col min="9235" max="9235" width="55.44140625" style="174" customWidth="1"/>
    <col min="9236" max="9473" width="8.77734375" style="174"/>
    <col min="9474" max="9474" width="53.77734375" style="174" bestFit="1" customWidth="1"/>
    <col min="9475" max="9475" width="2.109375" style="174" customWidth="1"/>
    <col min="9476" max="9476" width="10" style="174" bestFit="1" customWidth="1"/>
    <col min="9477" max="9477" width="9.44140625" style="174" bestFit="1" customWidth="1"/>
    <col min="9478" max="9478" width="10" style="174" customWidth="1"/>
    <col min="9479" max="9479" width="11" style="174" customWidth="1"/>
    <col min="9480" max="9480" width="10" style="174" customWidth="1"/>
    <col min="9481" max="9482" width="10.33203125" style="174" customWidth="1"/>
    <col min="9483" max="9484" width="10" style="174" customWidth="1"/>
    <col min="9485" max="9488" width="9" style="174" bestFit="1" customWidth="1"/>
    <col min="9489" max="9489" width="3.44140625" style="174" customWidth="1"/>
    <col min="9490" max="9490" width="6.77734375" style="174" customWidth="1"/>
    <col min="9491" max="9491" width="55.44140625" style="174" customWidth="1"/>
    <col min="9492" max="9729" width="8.77734375" style="174"/>
    <col min="9730" max="9730" width="53.77734375" style="174" bestFit="1" customWidth="1"/>
    <col min="9731" max="9731" width="2.109375" style="174" customWidth="1"/>
    <col min="9732" max="9732" width="10" style="174" bestFit="1" customWidth="1"/>
    <col min="9733" max="9733" width="9.44140625" style="174" bestFit="1" customWidth="1"/>
    <col min="9734" max="9734" width="10" style="174" customWidth="1"/>
    <col min="9735" max="9735" width="11" style="174" customWidth="1"/>
    <col min="9736" max="9736" width="10" style="174" customWidth="1"/>
    <col min="9737" max="9738" width="10.33203125" style="174" customWidth="1"/>
    <col min="9739" max="9740" width="10" style="174" customWidth="1"/>
    <col min="9741" max="9744" width="9" style="174" bestFit="1" customWidth="1"/>
    <col min="9745" max="9745" width="3.44140625" style="174" customWidth="1"/>
    <col min="9746" max="9746" width="6.77734375" style="174" customWidth="1"/>
    <col min="9747" max="9747" width="55.44140625" style="174" customWidth="1"/>
    <col min="9748" max="9985" width="8.77734375" style="174"/>
    <col min="9986" max="9986" width="53.77734375" style="174" bestFit="1" customWidth="1"/>
    <col min="9987" max="9987" width="2.109375" style="174" customWidth="1"/>
    <col min="9988" max="9988" width="10" style="174" bestFit="1" customWidth="1"/>
    <col min="9989" max="9989" width="9.44140625" style="174" bestFit="1" customWidth="1"/>
    <col min="9990" max="9990" width="10" style="174" customWidth="1"/>
    <col min="9991" max="9991" width="11" style="174" customWidth="1"/>
    <col min="9992" max="9992" width="10" style="174" customWidth="1"/>
    <col min="9993" max="9994" width="10.33203125" style="174" customWidth="1"/>
    <col min="9995" max="9996" width="10" style="174" customWidth="1"/>
    <col min="9997" max="10000" width="9" style="174" bestFit="1" customWidth="1"/>
    <col min="10001" max="10001" width="3.44140625" style="174" customWidth="1"/>
    <col min="10002" max="10002" width="6.77734375" style="174" customWidth="1"/>
    <col min="10003" max="10003" width="55.44140625" style="174" customWidth="1"/>
    <col min="10004" max="10241" width="8.77734375" style="174"/>
    <col min="10242" max="10242" width="53.77734375" style="174" bestFit="1" customWidth="1"/>
    <col min="10243" max="10243" width="2.109375" style="174" customWidth="1"/>
    <col min="10244" max="10244" width="10" style="174" bestFit="1" customWidth="1"/>
    <col min="10245" max="10245" width="9.44140625" style="174" bestFit="1" customWidth="1"/>
    <col min="10246" max="10246" width="10" style="174" customWidth="1"/>
    <col min="10247" max="10247" width="11" style="174" customWidth="1"/>
    <col min="10248" max="10248" width="10" style="174" customWidth="1"/>
    <col min="10249" max="10250" width="10.33203125" style="174" customWidth="1"/>
    <col min="10251" max="10252" width="10" style="174" customWidth="1"/>
    <col min="10253" max="10256" width="9" style="174" bestFit="1" customWidth="1"/>
    <col min="10257" max="10257" width="3.44140625" style="174" customWidth="1"/>
    <col min="10258" max="10258" width="6.77734375" style="174" customWidth="1"/>
    <col min="10259" max="10259" width="55.44140625" style="174" customWidth="1"/>
    <col min="10260" max="10497" width="8.77734375" style="174"/>
    <col min="10498" max="10498" width="53.77734375" style="174" bestFit="1" customWidth="1"/>
    <col min="10499" max="10499" width="2.109375" style="174" customWidth="1"/>
    <col min="10500" max="10500" width="10" style="174" bestFit="1" customWidth="1"/>
    <col min="10501" max="10501" width="9.44140625" style="174" bestFit="1" customWidth="1"/>
    <col min="10502" max="10502" width="10" style="174" customWidth="1"/>
    <col min="10503" max="10503" width="11" style="174" customWidth="1"/>
    <col min="10504" max="10504" width="10" style="174" customWidth="1"/>
    <col min="10505" max="10506" width="10.33203125" style="174" customWidth="1"/>
    <col min="10507" max="10508" width="10" style="174" customWidth="1"/>
    <col min="10509" max="10512" width="9" style="174" bestFit="1" customWidth="1"/>
    <col min="10513" max="10513" width="3.44140625" style="174" customWidth="1"/>
    <col min="10514" max="10514" width="6.77734375" style="174" customWidth="1"/>
    <col min="10515" max="10515" width="55.44140625" style="174" customWidth="1"/>
    <col min="10516" max="10753" width="8.77734375" style="174"/>
    <col min="10754" max="10754" width="53.77734375" style="174" bestFit="1" customWidth="1"/>
    <col min="10755" max="10755" width="2.109375" style="174" customWidth="1"/>
    <col min="10756" max="10756" width="10" style="174" bestFit="1" customWidth="1"/>
    <col min="10757" max="10757" width="9.44140625" style="174" bestFit="1" customWidth="1"/>
    <col min="10758" max="10758" width="10" style="174" customWidth="1"/>
    <col min="10759" max="10759" width="11" style="174" customWidth="1"/>
    <col min="10760" max="10760" width="10" style="174" customWidth="1"/>
    <col min="10761" max="10762" width="10.33203125" style="174" customWidth="1"/>
    <col min="10763" max="10764" width="10" style="174" customWidth="1"/>
    <col min="10765" max="10768" width="9" style="174" bestFit="1" customWidth="1"/>
    <col min="10769" max="10769" width="3.44140625" style="174" customWidth="1"/>
    <col min="10770" max="10770" width="6.77734375" style="174" customWidth="1"/>
    <col min="10771" max="10771" width="55.44140625" style="174" customWidth="1"/>
    <col min="10772" max="11009" width="8.77734375" style="174"/>
    <col min="11010" max="11010" width="53.77734375" style="174" bestFit="1" customWidth="1"/>
    <col min="11011" max="11011" width="2.109375" style="174" customWidth="1"/>
    <col min="11012" max="11012" width="10" style="174" bestFit="1" customWidth="1"/>
    <col min="11013" max="11013" width="9.44140625" style="174" bestFit="1" customWidth="1"/>
    <col min="11014" max="11014" width="10" style="174" customWidth="1"/>
    <col min="11015" max="11015" width="11" style="174" customWidth="1"/>
    <col min="11016" max="11016" width="10" style="174" customWidth="1"/>
    <col min="11017" max="11018" width="10.33203125" style="174" customWidth="1"/>
    <col min="11019" max="11020" width="10" style="174" customWidth="1"/>
    <col min="11021" max="11024" width="9" style="174" bestFit="1" customWidth="1"/>
    <col min="11025" max="11025" width="3.44140625" style="174" customWidth="1"/>
    <col min="11026" max="11026" width="6.77734375" style="174" customWidth="1"/>
    <col min="11027" max="11027" width="55.44140625" style="174" customWidth="1"/>
    <col min="11028" max="11265" width="8.77734375" style="174"/>
    <col min="11266" max="11266" width="53.77734375" style="174" bestFit="1" customWidth="1"/>
    <col min="11267" max="11267" width="2.109375" style="174" customWidth="1"/>
    <col min="11268" max="11268" width="10" style="174" bestFit="1" customWidth="1"/>
    <col min="11269" max="11269" width="9.44140625" style="174" bestFit="1" customWidth="1"/>
    <col min="11270" max="11270" width="10" style="174" customWidth="1"/>
    <col min="11271" max="11271" width="11" style="174" customWidth="1"/>
    <col min="11272" max="11272" width="10" style="174" customWidth="1"/>
    <col min="11273" max="11274" width="10.33203125" style="174" customWidth="1"/>
    <col min="11275" max="11276" width="10" style="174" customWidth="1"/>
    <col min="11277" max="11280" width="9" style="174" bestFit="1" customWidth="1"/>
    <col min="11281" max="11281" width="3.44140625" style="174" customWidth="1"/>
    <col min="11282" max="11282" width="6.77734375" style="174" customWidth="1"/>
    <col min="11283" max="11283" width="55.44140625" style="174" customWidth="1"/>
    <col min="11284" max="11521" width="8.77734375" style="174"/>
    <col min="11522" max="11522" width="53.77734375" style="174" bestFit="1" customWidth="1"/>
    <col min="11523" max="11523" width="2.109375" style="174" customWidth="1"/>
    <col min="11524" max="11524" width="10" style="174" bestFit="1" customWidth="1"/>
    <col min="11525" max="11525" width="9.44140625" style="174" bestFit="1" customWidth="1"/>
    <col min="11526" max="11526" width="10" style="174" customWidth="1"/>
    <col min="11527" max="11527" width="11" style="174" customWidth="1"/>
    <col min="11528" max="11528" width="10" style="174" customWidth="1"/>
    <col min="11529" max="11530" width="10.33203125" style="174" customWidth="1"/>
    <col min="11531" max="11532" width="10" style="174" customWidth="1"/>
    <col min="11533" max="11536" width="9" style="174" bestFit="1" customWidth="1"/>
    <col min="11537" max="11537" width="3.44140625" style="174" customWidth="1"/>
    <col min="11538" max="11538" width="6.77734375" style="174" customWidth="1"/>
    <col min="11539" max="11539" width="55.44140625" style="174" customWidth="1"/>
    <col min="11540" max="11777" width="8.77734375" style="174"/>
    <col min="11778" max="11778" width="53.77734375" style="174" bestFit="1" customWidth="1"/>
    <col min="11779" max="11779" width="2.109375" style="174" customWidth="1"/>
    <col min="11780" max="11780" width="10" style="174" bestFit="1" customWidth="1"/>
    <col min="11781" max="11781" width="9.44140625" style="174" bestFit="1" customWidth="1"/>
    <col min="11782" max="11782" width="10" style="174" customWidth="1"/>
    <col min="11783" max="11783" width="11" style="174" customWidth="1"/>
    <col min="11784" max="11784" width="10" style="174" customWidth="1"/>
    <col min="11785" max="11786" width="10.33203125" style="174" customWidth="1"/>
    <col min="11787" max="11788" width="10" style="174" customWidth="1"/>
    <col min="11789" max="11792" width="9" style="174" bestFit="1" customWidth="1"/>
    <col min="11793" max="11793" width="3.44140625" style="174" customWidth="1"/>
    <col min="11794" max="11794" width="6.77734375" style="174" customWidth="1"/>
    <col min="11795" max="11795" width="55.44140625" style="174" customWidth="1"/>
    <col min="11796" max="12033" width="8.77734375" style="174"/>
    <col min="12034" max="12034" width="53.77734375" style="174" bestFit="1" customWidth="1"/>
    <col min="12035" max="12035" width="2.109375" style="174" customWidth="1"/>
    <col min="12036" max="12036" width="10" style="174" bestFit="1" customWidth="1"/>
    <col min="12037" max="12037" width="9.44140625" style="174" bestFit="1" customWidth="1"/>
    <col min="12038" max="12038" width="10" style="174" customWidth="1"/>
    <col min="12039" max="12039" width="11" style="174" customWidth="1"/>
    <col min="12040" max="12040" width="10" style="174" customWidth="1"/>
    <col min="12041" max="12042" width="10.33203125" style="174" customWidth="1"/>
    <col min="12043" max="12044" width="10" style="174" customWidth="1"/>
    <col min="12045" max="12048" width="9" style="174" bestFit="1" customWidth="1"/>
    <col min="12049" max="12049" width="3.44140625" style="174" customWidth="1"/>
    <col min="12050" max="12050" width="6.77734375" style="174" customWidth="1"/>
    <col min="12051" max="12051" width="55.44140625" style="174" customWidth="1"/>
    <col min="12052" max="12289" width="8.77734375" style="174"/>
    <col min="12290" max="12290" width="53.77734375" style="174" bestFit="1" customWidth="1"/>
    <col min="12291" max="12291" width="2.109375" style="174" customWidth="1"/>
    <col min="12292" max="12292" width="10" style="174" bestFit="1" customWidth="1"/>
    <col min="12293" max="12293" width="9.44140625" style="174" bestFit="1" customWidth="1"/>
    <col min="12294" max="12294" width="10" style="174" customWidth="1"/>
    <col min="12295" max="12295" width="11" style="174" customWidth="1"/>
    <col min="12296" max="12296" width="10" style="174" customWidth="1"/>
    <col min="12297" max="12298" width="10.33203125" style="174" customWidth="1"/>
    <col min="12299" max="12300" width="10" style="174" customWidth="1"/>
    <col min="12301" max="12304" width="9" style="174" bestFit="1" customWidth="1"/>
    <col min="12305" max="12305" width="3.44140625" style="174" customWidth="1"/>
    <col min="12306" max="12306" width="6.77734375" style="174" customWidth="1"/>
    <col min="12307" max="12307" width="55.44140625" style="174" customWidth="1"/>
    <col min="12308" max="12545" width="8.77734375" style="174"/>
    <col min="12546" max="12546" width="53.77734375" style="174" bestFit="1" customWidth="1"/>
    <col min="12547" max="12547" width="2.109375" style="174" customWidth="1"/>
    <col min="12548" max="12548" width="10" style="174" bestFit="1" customWidth="1"/>
    <col min="12549" max="12549" width="9.44140625" style="174" bestFit="1" customWidth="1"/>
    <col min="12550" max="12550" width="10" style="174" customWidth="1"/>
    <col min="12551" max="12551" width="11" style="174" customWidth="1"/>
    <col min="12552" max="12552" width="10" style="174" customWidth="1"/>
    <col min="12553" max="12554" width="10.33203125" style="174" customWidth="1"/>
    <col min="12555" max="12556" width="10" style="174" customWidth="1"/>
    <col min="12557" max="12560" width="9" style="174" bestFit="1" customWidth="1"/>
    <col min="12561" max="12561" width="3.44140625" style="174" customWidth="1"/>
    <col min="12562" max="12562" width="6.77734375" style="174" customWidth="1"/>
    <col min="12563" max="12563" width="55.44140625" style="174" customWidth="1"/>
    <col min="12564" max="12801" width="8.77734375" style="174"/>
    <col min="12802" max="12802" width="53.77734375" style="174" bestFit="1" customWidth="1"/>
    <col min="12803" max="12803" width="2.109375" style="174" customWidth="1"/>
    <col min="12804" max="12804" width="10" style="174" bestFit="1" customWidth="1"/>
    <col min="12805" max="12805" width="9.44140625" style="174" bestFit="1" customWidth="1"/>
    <col min="12806" max="12806" width="10" style="174" customWidth="1"/>
    <col min="12807" max="12807" width="11" style="174" customWidth="1"/>
    <col min="12808" max="12808" width="10" style="174" customWidth="1"/>
    <col min="12809" max="12810" width="10.33203125" style="174" customWidth="1"/>
    <col min="12811" max="12812" width="10" style="174" customWidth="1"/>
    <col min="12813" max="12816" width="9" style="174" bestFit="1" customWidth="1"/>
    <col min="12817" max="12817" width="3.44140625" style="174" customWidth="1"/>
    <col min="12818" max="12818" width="6.77734375" style="174" customWidth="1"/>
    <col min="12819" max="12819" width="55.44140625" style="174" customWidth="1"/>
    <col min="12820" max="13057" width="8.77734375" style="174"/>
    <col min="13058" max="13058" width="53.77734375" style="174" bestFit="1" customWidth="1"/>
    <col min="13059" max="13059" width="2.109375" style="174" customWidth="1"/>
    <col min="13060" max="13060" width="10" style="174" bestFit="1" customWidth="1"/>
    <col min="13061" max="13061" width="9.44140625" style="174" bestFit="1" customWidth="1"/>
    <col min="13062" max="13062" width="10" style="174" customWidth="1"/>
    <col min="13063" max="13063" width="11" style="174" customWidth="1"/>
    <col min="13064" max="13064" width="10" style="174" customWidth="1"/>
    <col min="13065" max="13066" width="10.33203125" style="174" customWidth="1"/>
    <col min="13067" max="13068" width="10" style="174" customWidth="1"/>
    <col min="13069" max="13072" width="9" style="174" bestFit="1" customWidth="1"/>
    <col min="13073" max="13073" width="3.44140625" style="174" customWidth="1"/>
    <col min="13074" max="13074" width="6.77734375" style="174" customWidth="1"/>
    <col min="13075" max="13075" width="55.44140625" style="174" customWidth="1"/>
    <col min="13076" max="13313" width="8.77734375" style="174"/>
    <col min="13314" max="13314" width="53.77734375" style="174" bestFit="1" customWidth="1"/>
    <col min="13315" max="13315" width="2.109375" style="174" customWidth="1"/>
    <col min="13316" max="13316" width="10" style="174" bestFit="1" customWidth="1"/>
    <col min="13317" max="13317" width="9.44140625" style="174" bestFit="1" customWidth="1"/>
    <col min="13318" max="13318" width="10" style="174" customWidth="1"/>
    <col min="13319" max="13319" width="11" style="174" customWidth="1"/>
    <col min="13320" max="13320" width="10" style="174" customWidth="1"/>
    <col min="13321" max="13322" width="10.33203125" style="174" customWidth="1"/>
    <col min="13323" max="13324" width="10" style="174" customWidth="1"/>
    <col min="13325" max="13328" width="9" style="174" bestFit="1" customWidth="1"/>
    <col min="13329" max="13329" width="3.44140625" style="174" customWidth="1"/>
    <col min="13330" max="13330" width="6.77734375" style="174" customWidth="1"/>
    <col min="13331" max="13331" width="55.44140625" style="174" customWidth="1"/>
    <col min="13332" max="13569" width="8.77734375" style="174"/>
    <col min="13570" max="13570" width="53.77734375" style="174" bestFit="1" customWidth="1"/>
    <col min="13571" max="13571" width="2.109375" style="174" customWidth="1"/>
    <col min="13572" max="13572" width="10" style="174" bestFit="1" customWidth="1"/>
    <col min="13573" max="13573" width="9.44140625" style="174" bestFit="1" customWidth="1"/>
    <col min="13574" max="13574" width="10" style="174" customWidth="1"/>
    <col min="13575" max="13575" width="11" style="174" customWidth="1"/>
    <col min="13576" max="13576" width="10" style="174" customWidth="1"/>
    <col min="13577" max="13578" width="10.33203125" style="174" customWidth="1"/>
    <col min="13579" max="13580" width="10" style="174" customWidth="1"/>
    <col min="13581" max="13584" width="9" style="174" bestFit="1" customWidth="1"/>
    <col min="13585" max="13585" width="3.44140625" style="174" customWidth="1"/>
    <col min="13586" max="13586" width="6.77734375" style="174" customWidth="1"/>
    <col min="13587" max="13587" width="55.44140625" style="174" customWidth="1"/>
    <col min="13588" max="13825" width="8.77734375" style="174"/>
    <col min="13826" max="13826" width="53.77734375" style="174" bestFit="1" customWidth="1"/>
    <col min="13827" max="13827" width="2.109375" style="174" customWidth="1"/>
    <col min="13828" max="13828" width="10" style="174" bestFit="1" customWidth="1"/>
    <col min="13829" max="13829" width="9.44140625" style="174" bestFit="1" customWidth="1"/>
    <col min="13830" max="13830" width="10" style="174" customWidth="1"/>
    <col min="13831" max="13831" width="11" style="174" customWidth="1"/>
    <col min="13832" max="13832" width="10" style="174" customWidth="1"/>
    <col min="13833" max="13834" width="10.33203125" style="174" customWidth="1"/>
    <col min="13835" max="13836" width="10" style="174" customWidth="1"/>
    <col min="13837" max="13840" width="9" style="174" bestFit="1" customWidth="1"/>
    <col min="13841" max="13841" width="3.44140625" style="174" customWidth="1"/>
    <col min="13842" max="13842" width="6.77734375" style="174" customWidth="1"/>
    <col min="13843" max="13843" width="55.44140625" style="174" customWidth="1"/>
    <col min="13844" max="14081" width="8.77734375" style="174"/>
    <col min="14082" max="14082" width="53.77734375" style="174" bestFit="1" customWidth="1"/>
    <col min="14083" max="14083" width="2.109375" style="174" customWidth="1"/>
    <col min="14084" max="14084" width="10" style="174" bestFit="1" customWidth="1"/>
    <col min="14085" max="14085" width="9.44140625" style="174" bestFit="1" customWidth="1"/>
    <col min="14086" max="14086" width="10" style="174" customWidth="1"/>
    <col min="14087" max="14087" width="11" style="174" customWidth="1"/>
    <col min="14088" max="14088" width="10" style="174" customWidth="1"/>
    <col min="14089" max="14090" width="10.33203125" style="174" customWidth="1"/>
    <col min="14091" max="14092" width="10" style="174" customWidth="1"/>
    <col min="14093" max="14096" width="9" style="174" bestFit="1" customWidth="1"/>
    <col min="14097" max="14097" width="3.44140625" style="174" customWidth="1"/>
    <col min="14098" max="14098" width="6.77734375" style="174" customWidth="1"/>
    <col min="14099" max="14099" width="55.44140625" style="174" customWidth="1"/>
    <col min="14100" max="14337" width="8.77734375" style="174"/>
    <col min="14338" max="14338" width="53.77734375" style="174" bestFit="1" customWidth="1"/>
    <col min="14339" max="14339" width="2.109375" style="174" customWidth="1"/>
    <col min="14340" max="14340" width="10" style="174" bestFit="1" customWidth="1"/>
    <col min="14341" max="14341" width="9.44140625" style="174" bestFit="1" customWidth="1"/>
    <col min="14342" max="14342" width="10" style="174" customWidth="1"/>
    <col min="14343" max="14343" width="11" style="174" customWidth="1"/>
    <col min="14344" max="14344" width="10" style="174" customWidth="1"/>
    <col min="14345" max="14346" width="10.33203125" style="174" customWidth="1"/>
    <col min="14347" max="14348" width="10" style="174" customWidth="1"/>
    <col min="14349" max="14352" width="9" style="174" bestFit="1" customWidth="1"/>
    <col min="14353" max="14353" width="3.44140625" style="174" customWidth="1"/>
    <col min="14354" max="14354" width="6.77734375" style="174" customWidth="1"/>
    <col min="14355" max="14355" width="55.44140625" style="174" customWidth="1"/>
    <col min="14356" max="14593" width="8.77734375" style="174"/>
    <col min="14594" max="14594" width="53.77734375" style="174" bestFit="1" customWidth="1"/>
    <col min="14595" max="14595" width="2.109375" style="174" customWidth="1"/>
    <col min="14596" max="14596" width="10" style="174" bestFit="1" customWidth="1"/>
    <col min="14597" max="14597" width="9.44140625" style="174" bestFit="1" customWidth="1"/>
    <col min="14598" max="14598" width="10" style="174" customWidth="1"/>
    <col min="14599" max="14599" width="11" style="174" customWidth="1"/>
    <col min="14600" max="14600" width="10" style="174" customWidth="1"/>
    <col min="14601" max="14602" width="10.33203125" style="174" customWidth="1"/>
    <col min="14603" max="14604" width="10" style="174" customWidth="1"/>
    <col min="14605" max="14608" width="9" style="174" bestFit="1" customWidth="1"/>
    <col min="14609" max="14609" width="3.44140625" style="174" customWidth="1"/>
    <col min="14610" max="14610" width="6.77734375" style="174" customWidth="1"/>
    <col min="14611" max="14611" width="55.44140625" style="174" customWidth="1"/>
    <col min="14612" max="14849" width="8.77734375" style="174"/>
    <col min="14850" max="14850" width="53.77734375" style="174" bestFit="1" customWidth="1"/>
    <col min="14851" max="14851" width="2.109375" style="174" customWidth="1"/>
    <col min="14852" max="14852" width="10" style="174" bestFit="1" customWidth="1"/>
    <col min="14853" max="14853" width="9.44140625" style="174" bestFit="1" customWidth="1"/>
    <col min="14854" max="14854" width="10" style="174" customWidth="1"/>
    <col min="14855" max="14855" width="11" style="174" customWidth="1"/>
    <col min="14856" max="14856" width="10" style="174" customWidth="1"/>
    <col min="14857" max="14858" width="10.33203125" style="174" customWidth="1"/>
    <col min="14859" max="14860" width="10" style="174" customWidth="1"/>
    <col min="14861" max="14864" width="9" style="174" bestFit="1" customWidth="1"/>
    <col min="14865" max="14865" width="3.44140625" style="174" customWidth="1"/>
    <col min="14866" max="14866" width="6.77734375" style="174" customWidth="1"/>
    <col min="14867" max="14867" width="55.44140625" style="174" customWidth="1"/>
    <col min="14868" max="15105" width="8.77734375" style="174"/>
    <col min="15106" max="15106" width="53.77734375" style="174" bestFit="1" customWidth="1"/>
    <col min="15107" max="15107" width="2.109375" style="174" customWidth="1"/>
    <col min="15108" max="15108" width="10" style="174" bestFit="1" customWidth="1"/>
    <col min="15109" max="15109" width="9.44140625" style="174" bestFit="1" customWidth="1"/>
    <col min="15110" max="15110" width="10" style="174" customWidth="1"/>
    <col min="15111" max="15111" width="11" style="174" customWidth="1"/>
    <col min="15112" max="15112" width="10" style="174" customWidth="1"/>
    <col min="15113" max="15114" width="10.33203125" style="174" customWidth="1"/>
    <col min="15115" max="15116" width="10" style="174" customWidth="1"/>
    <col min="15117" max="15120" width="9" style="174" bestFit="1" customWidth="1"/>
    <col min="15121" max="15121" width="3.44140625" style="174" customWidth="1"/>
    <col min="15122" max="15122" width="6.77734375" style="174" customWidth="1"/>
    <col min="15123" max="15123" width="55.44140625" style="174" customWidth="1"/>
    <col min="15124" max="15361" width="8.77734375" style="174"/>
    <col min="15362" max="15362" width="53.77734375" style="174" bestFit="1" customWidth="1"/>
    <col min="15363" max="15363" width="2.109375" style="174" customWidth="1"/>
    <col min="15364" max="15364" width="10" style="174" bestFit="1" customWidth="1"/>
    <col min="15365" max="15365" width="9.44140625" style="174" bestFit="1" customWidth="1"/>
    <col min="15366" max="15366" width="10" style="174" customWidth="1"/>
    <col min="15367" max="15367" width="11" style="174" customWidth="1"/>
    <col min="15368" max="15368" width="10" style="174" customWidth="1"/>
    <col min="15369" max="15370" width="10.33203125" style="174" customWidth="1"/>
    <col min="15371" max="15372" width="10" style="174" customWidth="1"/>
    <col min="15373" max="15376" width="9" style="174" bestFit="1" customWidth="1"/>
    <col min="15377" max="15377" width="3.44140625" style="174" customWidth="1"/>
    <col min="15378" max="15378" width="6.77734375" style="174" customWidth="1"/>
    <col min="15379" max="15379" width="55.44140625" style="174" customWidth="1"/>
    <col min="15380" max="15617" width="8.77734375" style="174"/>
    <col min="15618" max="15618" width="53.77734375" style="174" bestFit="1" customWidth="1"/>
    <col min="15619" max="15619" width="2.109375" style="174" customWidth="1"/>
    <col min="15620" max="15620" width="10" style="174" bestFit="1" customWidth="1"/>
    <col min="15621" max="15621" width="9.44140625" style="174" bestFit="1" customWidth="1"/>
    <col min="15622" max="15622" width="10" style="174" customWidth="1"/>
    <col min="15623" max="15623" width="11" style="174" customWidth="1"/>
    <col min="15624" max="15624" width="10" style="174" customWidth="1"/>
    <col min="15625" max="15626" width="10.33203125" style="174" customWidth="1"/>
    <col min="15627" max="15628" width="10" style="174" customWidth="1"/>
    <col min="15629" max="15632" width="9" style="174" bestFit="1" customWidth="1"/>
    <col min="15633" max="15633" width="3.44140625" style="174" customWidth="1"/>
    <col min="15634" max="15634" width="6.77734375" style="174" customWidth="1"/>
    <col min="15635" max="15635" width="55.44140625" style="174" customWidth="1"/>
    <col min="15636" max="15873" width="8.77734375" style="174"/>
    <col min="15874" max="15874" width="53.77734375" style="174" bestFit="1" customWidth="1"/>
    <col min="15875" max="15875" width="2.109375" style="174" customWidth="1"/>
    <col min="15876" max="15876" width="10" style="174" bestFit="1" customWidth="1"/>
    <col min="15877" max="15877" width="9.44140625" style="174" bestFit="1" customWidth="1"/>
    <col min="15878" max="15878" width="10" style="174" customWidth="1"/>
    <col min="15879" max="15879" width="11" style="174" customWidth="1"/>
    <col min="15880" max="15880" width="10" style="174" customWidth="1"/>
    <col min="15881" max="15882" width="10.33203125" style="174" customWidth="1"/>
    <col min="15883" max="15884" width="10" style="174" customWidth="1"/>
    <col min="15885" max="15888" width="9" style="174" bestFit="1" customWidth="1"/>
    <col min="15889" max="15889" width="3.44140625" style="174" customWidth="1"/>
    <col min="15890" max="15890" width="6.77734375" style="174" customWidth="1"/>
    <col min="15891" max="15891" width="55.44140625" style="174" customWidth="1"/>
    <col min="15892" max="16129" width="8.77734375" style="174"/>
    <col min="16130" max="16130" width="53.77734375" style="174" bestFit="1" customWidth="1"/>
    <col min="16131" max="16131" width="2.109375" style="174" customWidth="1"/>
    <col min="16132" max="16132" width="10" style="174" bestFit="1" customWidth="1"/>
    <col min="16133" max="16133" width="9.44140625" style="174" bestFit="1" customWidth="1"/>
    <col min="16134" max="16134" width="10" style="174" customWidth="1"/>
    <col min="16135" max="16135" width="11" style="174" customWidth="1"/>
    <col min="16136" max="16136" width="10" style="174" customWidth="1"/>
    <col min="16137" max="16138" width="10.33203125" style="174" customWidth="1"/>
    <col min="16139" max="16140" width="10" style="174" customWidth="1"/>
    <col min="16141" max="16144" width="9" style="174" bestFit="1" customWidth="1"/>
    <col min="16145" max="16145" width="3.44140625" style="174" customWidth="1"/>
    <col min="16146" max="16146" width="6.77734375" style="174" customWidth="1"/>
    <col min="16147" max="16147" width="55.44140625" style="174" customWidth="1"/>
    <col min="16148" max="16384" width="8.77734375" style="174"/>
  </cols>
  <sheetData>
    <row r="1" spans="1:19" s="218" customFormat="1" ht="16.95" customHeight="1" thickBot="1" x14ac:dyDescent="0.3">
      <c r="B1" s="251" t="s">
        <v>581</v>
      </c>
      <c r="I1" s="219"/>
      <c r="J1" s="207" t="s">
        <v>394</v>
      </c>
      <c r="K1" s="207" t="s">
        <v>393</v>
      </c>
      <c r="L1" s="207" t="s">
        <v>395</v>
      </c>
      <c r="S1" s="294"/>
    </row>
    <row r="2" spans="1:19" s="218" customFormat="1" ht="16.95" customHeight="1" thickBot="1" x14ac:dyDescent="0.3">
      <c r="A2" s="13" t="s">
        <v>0</v>
      </c>
      <c r="B2" s="252" t="s">
        <v>348</v>
      </c>
      <c r="E2" s="220"/>
      <c r="F2" s="221"/>
      <c r="G2" s="220"/>
      <c r="H2" s="220"/>
      <c r="I2" s="6" t="s">
        <v>341</v>
      </c>
      <c r="J2" s="301">
        <v>6500</v>
      </c>
      <c r="K2" s="302">
        <v>1</v>
      </c>
      <c r="L2" s="303">
        <v>200</v>
      </c>
      <c r="M2" s="220"/>
      <c r="N2" s="220"/>
      <c r="O2" s="220"/>
      <c r="P2" s="223" t="s">
        <v>222</v>
      </c>
      <c r="S2" s="178" t="s">
        <v>254</v>
      </c>
    </row>
    <row r="3" spans="1:19" s="218" customFormat="1" ht="16.95" customHeight="1" x14ac:dyDescent="0.25">
      <c r="A3" s="224"/>
      <c r="B3" s="372" t="s">
        <v>222</v>
      </c>
      <c r="C3" s="224"/>
      <c r="D3" s="224"/>
      <c r="E3" s="225"/>
      <c r="F3" s="225"/>
      <c r="G3" s="225"/>
      <c r="H3" s="224"/>
      <c r="I3" s="6" t="s">
        <v>343</v>
      </c>
      <c r="J3" s="301">
        <v>419</v>
      </c>
      <c r="K3" s="302">
        <v>0.5</v>
      </c>
      <c r="L3" s="304"/>
      <c r="M3" s="224"/>
      <c r="N3" s="224"/>
      <c r="O3" s="224"/>
      <c r="P3" s="224"/>
      <c r="S3" s="182" t="s">
        <v>253</v>
      </c>
    </row>
    <row r="4" spans="1:19" s="218" customFormat="1" ht="16.95" customHeight="1" x14ac:dyDescent="0.25">
      <c r="A4" s="488" t="s">
        <v>223</v>
      </c>
      <c r="B4" s="488"/>
      <c r="C4" s="488"/>
      <c r="D4" s="488"/>
      <c r="E4" s="488"/>
      <c r="F4" s="488"/>
      <c r="G4" s="488"/>
      <c r="H4" s="488"/>
      <c r="I4" s="488"/>
      <c r="J4" s="488"/>
      <c r="K4" s="488"/>
      <c r="L4" s="488"/>
      <c r="M4" s="488"/>
      <c r="N4" s="488"/>
      <c r="O4" s="488"/>
      <c r="P4" s="488"/>
      <c r="S4" s="183" t="s">
        <v>255</v>
      </c>
    </row>
    <row r="5" spans="1:19" s="218" customFormat="1" ht="16.95" customHeight="1" x14ac:dyDescent="0.25">
      <c r="A5" s="295"/>
      <c r="B5" s="296"/>
      <c r="C5" s="295"/>
      <c r="D5" s="295"/>
      <c r="E5" s="250">
        <v>0.6</v>
      </c>
      <c r="F5" s="250"/>
      <c r="G5" s="250"/>
      <c r="H5" s="250"/>
      <c r="I5" s="250">
        <v>0.3</v>
      </c>
      <c r="J5" s="250"/>
      <c r="K5" s="250"/>
      <c r="L5" s="250"/>
      <c r="M5" s="250"/>
      <c r="N5" s="250"/>
      <c r="O5" s="250"/>
      <c r="P5" s="250">
        <v>0.1</v>
      </c>
      <c r="S5" s="294"/>
    </row>
    <row r="6" spans="1:19" s="218" customFormat="1" ht="16.95" customHeight="1" thickBot="1" x14ac:dyDescent="0.3">
      <c r="A6" s="228"/>
      <c r="B6" s="228"/>
      <c r="C6" s="228"/>
      <c r="D6" s="186" t="s">
        <v>224</v>
      </c>
      <c r="E6" s="186"/>
      <c r="F6" s="186"/>
      <c r="G6" s="186"/>
      <c r="H6" s="186"/>
      <c r="I6" s="186"/>
      <c r="J6" s="186"/>
      <c r="K6" s="186"/>
      <c r="L6" s="186"/>
      <c r="M6" s="186"/>
      <c r="N6" s="186"/>
      <c r="O6" s="186"/>
      <c r="P6" s="187"/>
      <c r="R6" s="230" t="s">
        <v>3</v>
      </c>
      <c r="S6" s="158" t="s">
        <v>4</v>
      </c>
    </row>
    <row r="7" spans="1:19" s="218" customFormat="1" ht="16.95" customHeight="1" thickBot="1" x14ac:dyDescent="0.3">
      <c r="A7" s="189" t="s">
        <v>3</v>
      </c>
      <c r="B7" s="229" t="s">
        <v>225</v>
      </c>
      <c r="D7" s="191" t="s">
        <v>226</v>
      </c>
      <c r="E7" s="191" t="s">
        <v>227</v>
      </c>
      <c r="F7" s="191" t="s">
        <v>228</v>
      </c>
      <c r="G7" s="191" t="s">
        <v>229</v>
      </c>
      <c r="H7" s="191" t="s">
        <v>230</v>
      </c>
      <c r="I7" s="191" t="s">
        <v>231</v>
      </c>
      <c r="J7" s="191" t="s">
        <v>232</v>
      </c>
      <c r="K7" s="191" t="s">
        <v>233</v>
      </c>
      <c r="L7" s="191" t="s">
        <v>234</v>
      </c>
      <c r="M7" s="191" t="s">
        <v>235</v>
      </c>
      <c r="N7" s="191" t="s">
        <v>236</v>
      </c>
      <c r="O7" s="191" t="s">
        <v>237</v>
      </c>
      <c r="P7" s="191" t="s">
        <v>238</v>
      </c>
      <c r="S7" s="294"/>
    </row>
    <row r="9" spans="1:19" ht="16.95" customHeight="1" x14ac:dyDescent="0.25">
      <c r="B9" s="192" t="s">
        <v>239</v>
      </c>
      <c r="C9" s="218"/>
      <c r="D9" s="297"/>
      <c r="E9" s="297"/>
      <c r="F9" s="297"/>
      <c r="G9" s="297"/>
      <c r="H9" s="297"/>
      <c r="I9" s="297"/>
      <c r="J9" s="297"/>
      <c r="K9" s="297"/>
      <c r="L9" s="297"/>
      <c r="M9" s="297"/>
      <c r="N9" s="297"/>
      <c r="O9" s="297"/>
      <c r="P9" s="297"/>
    </row>
    <row r="10" spans="1:19" ht="16.95" customHeight="1" x14ac:dyDescent="0.25">
      <c r="B10" s="198" t="s">
        <v>381</v>
      </c>
      <c r="C10" s="218"/>
      <c r="D10" s="297"/>
      <c r="E10" s="297"/>
      <c r="F10" s="297"/>
      <c r="G10" s="297"/>
      <c r="H10" s="297"/>
      <c r="I10" s="297"/>
      <c r="J10" s="297"/>
      <c r="K10" s="297"/>
      <c r="L10" s="297"/>
      <c r="M10" s="297"/>
      <c r="N10" s="297"/>
      <c r="O10" s="297"/>
      <c r="P10" s="297"/>
    </row>
    <row r="11" spans="1:19" ht="16.95" customHeight="1" x14ac:dyDescent="0.25">
      <c r="A11" s="173">
        <f t="shared" ref="A11:A42" si="0">R11</f>
        <v>1</v>
      </c>
      <c r="B11" s="195" t="s">
        <v>382</v>
      </c>
      <c r="D11" s="165">
        <f t="shared" ref="D11:D24" si="1">SUM(E11:P11)</f>
        <v>1300000</v>
      </c>
      <c r="E11" s="163">
        <f>L2*J2*E5*K2</f>
        <v>780000</v>
      </c>
      <c r="F11" s="163">
        <v>0</v>
      </c>
      <c r="G11" s="163">
        <v>0</v>
      </c>
      <c r="H11" s="163">
        <v>0</v>
      </c>
      <c r="I11" s="163">
        <f>L2*J2*I5*K2</f>
        <v>390000</v>
      </c>
      <c r="J11" s="163">
        <v>0</v>
      </c>
      <c r="K11" s="163">
        <v>0</v>
      </c>
      <c r="L11" s="163">
        <v>0</v>
      </c>
      <c r="M11" s="163">
        <v>0</v>
      </c>
      <c r="N11" s="163">
        <v>0</v>
      </c>
      <c r="O11" s="163">
        <v>0</v>
      </c>
      <c r="P11" s="163">
        <f>L2*J2*P5*K2</f>
        <v>130000</v>
      </c>
      <c r="R11" s="173">
        <v>1</v>
      </c>
      <c r="S11" s="253" t="s">
        <v>733</v>
      </c>
    </row>
    <row r="12" spans="1:19" ht="16.95" customHeight="1" x14ac:dyDescent="0.25">
      <c r="A12" s="173">
        <f t="shared" si="0"/>
        <v>2</v>
      </c>
      <c r="B12" s="195" t="s">
        <v>383</v>
      </c>
      <c r="D12" s="165">
        <f t="shared" si="1"/>
        <v>82239.420000000013</v>
      </c>
      <c r="E12" s="163">
        <v>0</v>
      </c>
      <c r="F12" s="163">
        <v>0</v>
      </c>
      <c r="G12" s="163">
        <v>0</v>
      </c>
      <c r="H12" s="163">
        <v>0</v>
      </c>
      <c r="I12" s="163">
        <v>0</v>
      </c>
      <c r="J12" s="163">
        <v>0</v>
      </c>
      <c r="K12" s="163">
        <v>0</v>
      </c>
      <c r="L12" s="163">
        <v>0</v>
      </c>
      <c r="M12" s="163">
        <v>0</v>
      </c>
      <c r="N12" s="163">
        <v>0</v>
      </c>
      <c r="O12" s="163">
        <v>0</v>
      </c>
      <c r="P12" s="163">
        <f>(J3*K3*L2)+((0.25*(1.99+3.69))+(0.25*(1.69+3.29))*L2*180*0.9)</f>
        <v>82239.420000000013</v>
      </c>
      <c r="R12" s="173">
        <v>2</v>
      </c>
      <c r="S12" s="253" t="s">
        <v>584</v>
      </c>
    </row>
    <row r="13" spans="1:19" ht="16.95" customHeight="1" x14ac:dyDescent="0.25">
      <c r="A13" s="201">
        <f t="shared" si="0"/>
        <v>3</v>
      </c>
      <c r="B13" s="197" t="s">
        <v>380</v>
      </c>
      <c r="D13" s="164"/>
      <c r="E13" s="164"/>
      <c r="F13" s="164"/>
      <c r="G13" s="164"/>
      <c r="H13" s="164"/>
      <c r="I13" s="164"/>
      <c r="J13" s="164"/>
      <c r="K13" s="164"/>
      <c r="L13" s="164"/>
      <c r="M13" s="164"/>
      <c r="N13" s="164"/>
      <c r="O13" s="164"/>
      <c r="P13" s="164"/>
      <c r="R13" s="173">
        <v>3</v>
      </c>
      <c r="S13" s="237"/>
    </row>
    <row r="14" spans="1:19" ht="16.95" customHeight="1" x14ac:dyDescent="0.25">
      <c r="A14" s="173">
        <f t="shared" si="0"/>
        <v>4</v>
      </c>
      <c r="B14" s="195" t="s">
        <v>384</v>
      </c>
      <c r="D14" s="165">
        <f t="shared" si="1"/>
        <v>100000</v>
      </c>
      <c r="E14" s="163">
        <v>0</v>
      </c>
      <c r="F14" s="163">
        <v>0</v>
      </c>
      <c r="G14" s="163">
        <v>0</v>
      </c>
      <c r="H14" s="163">
        <v>0</v>
      </c>
      <c r="I14" s="163">
        <v>0</v>
      </c>
      <c r="J14" s="163">
        <v>50000</v>
      </c>
      <c r="K14" s="163">
        <v>50000</v>
      </c>
      <c r="L14" s="163">
        <v>0</v>
      </c>
      <c r="M14" s="163">
        <v>0</v>
      </c>
      <c r="N14" s="163">
        <v>0</v>
      </c>
      <c r="O14" s="163">
        <v>0</v>
      </c>
      <c r="P14" s="163">
        <v>0</v>
      </c>
      <c r="R14" s="173">
        <v>4</v>
      </c>
      <c r="S14" s="196" t="s">
        <v>654</v>
      </c>
    </row>
    <row r="15" spans="1:19" ht="16.95" customHeight="1" x14ac:dyDescent="0.25">
      <c r="A15" s="173">
        <f t="shared" si="0"/>
        <v>5</v>
      </c>
      <c r="B15" s="195" t="s">
        <v>385</v>
      </c>
      <c r="D15" s="165">
        <f t="shared" si="1"/>
        <v>0</v>
      </c>
      <c r="E15" s="163">
        <v>0</v>
      </c>
      <c r="F15" s="163">
        <v>0</v>
      </c>
      <c r="G15" s="163">
        <v>0</v>
      </c>
      <c r="H15" s="163">
        <v>0</v>
      </c>
      <c r="I15" s="163">
        <v>0</v>
      </c>
      <c r="J15" s="163">
        <v>0</v>
      </c>
      <c r="K15" s="163">
        <v>0</v>
      </c>
      <c r="L15" s="163">
        <v>0</v>
      </c>
      <c r="M15" s="163">
        <v>0</v>
      </c>
      <c r="N15" s="163">
        <v>0</v>
      </c>
      <c r="O15" s="163">
        <v>0</v>
      </c>
      <c r="P15" s="163">
        <v>0</v>
      </c>
      <c r="R15" s="173">
        <v>5</v>
      </c>
      <c r="S15" s="196"/>
    </row>
    <row r="16" spans="1:19" ht="16.95" customHeight="1" x14ac:dyDescent="0.25">
      <c r="A16" s="173">
        <f t="shared" si="0"/>
        <v>6</v>
      </c>
      <c r="B16" s="195" t="s">
        <v>386</v>
      </c>
      <c r="D16" s="165">
        <f t="shared" si="1"/>
        <v>100000</v>
      </c>
      <c r="E16" s="163">
        <v>0</v>
      </c>
      <c r="F16" s="163">
        <v>0</v>
      </c>
      <c r="G16" s="163">
        <v>0</v>
      </c>
      <c r="H16" s="163">
        <v>0</v>
      </c>
      <c r="I16" s="163">
        <v>100000</v>
      </c>
      <c r="J16" s="163">
        <v>0</v>
      </c>
      <c r="K16" s="163">
        <v>0</v>
      </c>
      <c r="L16" s="163">
        <v>0</v>
      </c>
      <c r="M16" s="163">
        <v>0</v>
      </c>
      <c r="N16" s="163">
        <v>0</v>
      </c>
      <c r="O16" s="163">
        <v>0</v>
      </c>
      <c r="P16" s="163">
        <v>0</v>
      </c>
      <c r="R16" s="173">
        <v>6</v>
      </c>
      <c r="S16" s="196" t="s">
        <v>734</v>
      </c>
    </row>
    <row r="17" spans="1:19" ht="16.95" customHeight="1" x14ac:dyDescent="0.25">
      <c r="A17" s="173">
        <f t="shared" si="0"/>
        <v>7</v>
      </c>
      <c r="B17" s="198" t="s">
        <v>377</v>
      </c>
      <c r="D17" s="164"/>
      <c r="E17" s="164"/>
      <c r="F17" s="164"/>
      <c r="G17" s="164"/>
      <c r="H17" s="164"/>
      <c r="I17" s="164"/>
      <c r="J17" s="164"/>
      <c r="K17" s="164"/>
      <c r="L17" s="164"/>
      <c r="M17" s="164"/>
      <c r="N17" s="164"/>
      <c r="O17" s="164"/>
      <c r="P17" s="164"/>
      <c r="R17" s="173">
        <v>7</v>
      </c>
      <c r="S17" s="196" t="s">
        <v>649</v>
      </c>
    </row>
    <row r="18" spans="1:19" ht="16.95" customHeight="1" x14ac:dyDescent="0.25">
      <c r="A18" s="216">
        <f t="shared" si="0"/>
        <v>7.1</v>
      </c>
      <c r="B18" s="202" t="s">
        <v>372</v>
      </c>
      <c r="D18" s="165">
        <f t="shared" si="1"/>
        <v>-230550</v>
      </c>
      <c r="E18" s="163">
        <f>-'A2. Bgt_FuncExp'!$I$8/12</f>
        <v>-19212.5</v>
      </c>
      <c r="F18" s="163">
        <f>-'A2. Bgt_FuncExp'!$I$8/12</f>
        <v>-19212.5</v>
      </c>
      <c r="G18" s="163">
        <f>-'A2. Bgt_FuncExp'!$I$8/12</f>
        <v>-19212.5</v>
      </c>
      <c r="H18" s="163">
        <f>-'A2. Bgt_FuncExp'!$I$8/12</f>
        <v>-19212.5</v>
      </c>
      <c r="I18" s="163">
        <f>-'A2. Bgt_FuncExp'!$I$8/12</f>
        <v>-19212.5</v>
      </c>
      <c r="J18" s="163">
        <f>-'A2. Bgt_FuncExp'!$I$8/12</f>
        <v>-19212.5</v>
      </c>
      <c r="K18" s="163">
        <f>-'A2. Bgt_FuncExp'!$I$8/12</f>
        <v>-19212.5</v>
      </c>
      <c r="L18" s="163">
        <f>-'A2. Bgt_FuncExp'!$I$8/12</f>
        <v>-19212.5</v>
      </c>
      <c r="M18" s="163">
        <f>-'A2. Bgt_FuncExp'!$I$8/12</f>
        <v>-19212.5</v>
      </c>
      <c r="N18" s="163">
        <f>-'A2. Bgt_FuncExp'!$I$8/12</f>
        <v>-19212.5</v>
      </c>
      <c r="O18" s="163">
        <f>-'A2. Bgt_FuncExp'!$I$8/12</f>
        <v>-19212.5</v>
      </c>
      <c r="P18" s="163">
        <f>-'A2. Bgt_FuncExp'!$I$8/12</f>
        <v>-19212.5</v>
      </c>
      <c r="R18" s="215">
        <v>7.1</v>
      </c>
      <c r="S18" s="3"/>
    </row>
    <row r="19" spans="1:19" ht="16.95" customHeight="1" x14ac:dyDescent="0.25">
      <c r="A19" s="216">
        <f t="shared" si="0"/>
        <v>7.2</v>
      </c>
      <c r="B19" s="202" t="s">
        <v>373</v>
      </c>
      <c r="D19" s="165">
        <f t="shared" si="1"/>
        <v>-828750</v>
      </c>
      <c r="E19" s="163">
        <f>-'A2. Bgt_FuncExp'!$I$41/12</f>
        <v>-69062.5</v>
      </c>
      <c r="F19" s="163">
        <f>-'A2. Bgt_FuncExp'!$I$41/12</f>
        <v>-69062.5</v>
      </c>
      <c r="G19" s="163">
        <f>-'A2. Bgt_FuncExp'!$I$41/12</f>
        <v>-69062.5</v>
      </c>
      <c r="H19" s="163">
        <f>-'A2. Bgt_FuncExp'!$I$41/12</f>
        <v>-69062.5</v>
      </c>
      <c r="I19" s="163">
        <f>-'A2. Bgt_FuncExp'!$I$41/12</f>
        <v>-69062.5</v>
      </c>
      <c r="J19" s="163">
        <f>-'A2. Bgt_FuncExp'!$I$41/12</f>
        <v>-69062.5</v>
      </c>
      <c r="K19" s="163">
        <f>-'A2. Bgt_FuncExp'!$I$41/12</f>
        <v>-69062.5</v>
      </c>
      <c r="L19" s="163">
        <f>-'A2. Bgt_FuncExp'!$I$41/12</f>
        <v>-69062.5</v>
      </c>
      <c r="M19" s="163">
        <f>-'A2. Bgt_FuncExp'!$I$41/12</f>
        <v>-69062.5</v>
      </c>
      <c r="N19" s="163">
        <f>-'A2. Bgt_FuncExp'!$I$41/12</f>
        <v>-69062.5</v>
      </c>
      <c r="O19" s="163">
        <f>-'A2. Bgt_FuncExp'!$I$41/12</f>
        <v>-69062.5</v>
      </c>
      <c r="P19" s="163">
        <f>-'A2. Bgt_FuncExp'!$I$41/12</f>
        <v>-69062.5</v>
      </c>
      <c r="R19" s="215">
        <v>7.2</v>
      </c>
      <c r="S19" s="3"/>
    </row>
    <row r="20" spans="1:19" ht="16.95" customHeight="1" x14ac:dyDescent="0.25">
      <c r="A20" s="216">
        <f t="shared" si="0"/>
        <v>7.3</v>
      </c>
      <c r="B20" s="202" t="s">
        <v>374</v>
      </c>
      <c r="D20" s="165">
        <f t="shared" si="1"/>
        <v>-180000</v>
      </c>
      <c r="E20" s="163">
        <f>-'A2. Bgt_FuncExp'!$I$77/12</f>
        <v>-15000</v>
      </c>
      <c r="F20" s="163">
        <f>-'A2. Bgt_FuncExp'!$I$77/12</f>
        <v>-15000</v>
      </c>
      <c r="G20" s="163">
        <f>-'A2. Bgt_FuncExp'!$I$77/12</f>
        <v>-15000</v>
      </c>
      <c r="H20" s="163">
        <f>-'A2. Bgt_FuncExp'!$I$77/12</f>
        <v>-15000</v>
      </c>
      <c r="I20" s="163">
        <f>-'A2. Bgt_FuncExp'!$I$77/12</f>
        <v>-15000</v>
      </c>
      <c r="J20" s="163">
        <f>-'A2. Bgt_FuncExp'!$I$77/12</f>
        <v>-15000</v>
      </c>
      <c r="K20" s="163">
        <f>-'A2. Bgt_FuncExp'!$I$77/12</f>
        <v>-15000</v>
      </c>
      <c r="L20" s="163">
        <f>-'A2. Bgt_FuncExp'!$I$77/12</f>
        <v>-15000</v>
      </c>
      <c r="M20" s="163">
        <f>-'A2. Bgt_FuncExp'!$I$77/12</f>
        <v>-15000</v>
      </c>
      <c r="N20" s="163">
        <f>-'A2. Bgt_FuncExp'!$I$77/12</f>
        <v>-15000</v>
      </c>
      <c r="O20" s="163">
        <f>-'A2. Bgt_FuncExp'!$I$77/12</f>
        <v>-15000</v>
      </c>
      <c r="P20" s="163">
        <f>-'A2. Bgt_FuncExp'!$I$77/12</f>
        <v>-15000</v>
      </c>
      <c r="R20" s="215">
        <v>7.3</v>
      </c>
      <c r="S20" s="3"/>
    </row>
    <row r="21" spans="1:19" ht="16.95" customHeight="1" x14ac:dyDescent="0.25">
      <c r="A21" s="216">
        <f t="shared" si="0"/>
        <v>7.4</v>
      </c>
      <c r="B21" s="202" t="s">
        <v>375</v>
      </c>
      <c r="D21" s="165">
        <f t="shared" si="1"/>
        <v>-99000</v>
      </c>
      <c r="E21" s="163">
        <f>-'A2. Bgt_FuncExp'!$I$86/12</f>
        <v>-8250</v>
      </c>
      <c r="F21" s="163">
        <f>-'A2. Bgt_FuncExp'!$I$86/12</f>
        <v>-8250</v>
      </c>
      <c r="G21" s="163">
        <f>-'A2. Bgt_FuncExp'!$I$86/12</f>
        <v>-8250</v>
      </c>
      <c r="H21" s="163">
        <f>-'A2. Bgt_FuncExp'!$I$86/12</f>
        <v>-8250</v>
      </c>
      <c r="I21" s="163">
        <f>-'A2. Bgt_FuncExp'!$I$86/12</f>
        <v>-8250</v>
      </c>
      <c r="J21" s="163">
        <f>-'A2. Bgt_FuncExp'!$I$86/12</f>
        <v>-8250</v>
      </c>
      <c r="K21" s="163">
        <f>-'A2. Bgt_FuncExp'!$I$86/12</f>
        <v>-8250</v>
      </c>
      <c r="L21" s="163">
        <f>-'A2. Bgt_FuncExp'!$I$86/12</f>
        <v>-8250</v>
      </c>
      <c r="M21" s="163">
        <f>-'A2. Bgt_FuncExp'!$I$86/12</f>
        <v>-8250</v>
      </c>
      <c r="N21" s="163">
        <f>-'A2. Bgt_FuncExp'!$I$86/12</f>
        <v>-8250</v>
      </c>
      <c r="O21" s="163">
        <f>-'A2. Bgt_FuncExp'!$I$86/12</f>
        <v>-8250</v>
      </c>
      <c r="P21" s="163">
        <f>-'A2. Bgt_FuncExp'!$I$86/12</f>
        <v>-8250</v>
      </c>
      <c r="R21" s="215">
        <v>7.4</v>
      </c>
      <c r="S21" s="196" t="s">
        <v>656</v>
      </c>
    </row>
    <row r="22" spans="1:19" ht="16.95" customHeight="1" x14ac:dyDescent="0.25">
      <c r="A22" s="216">
        <f t="shared" si="0"/>
        <v>7.5</v>
      </c>
      <c r="B22" s="204" t="s">
        <v>376</v>
      </c>
      <c r="D22" s="165">
        <f t="shared" si="1"/>
        <v>0</v>
      </c>
      <c r="E22" s="163">
        <f>-'A2. Bgt_FuncExp'!$I$99/12</f>
        <v>0</v>
      </c>
      <c r="F22" s="163">
        <f>-'A2. Bgt_FuncExp'!$I$99/12</f>
        <v>0</v>
      </c>
      <c r="G22" s="163">
        <f>-'A2. Bgt_FuncExp'!$I$99/12</f>
        <v>0</v>
      </c>
      <c r="H22" s="163">
        <f>-'A2. Bgt_FuncExp'!$I$99/12</f>
        <v>0</v>
      </c>
      <c r="I22" s="163">
        <f>-'A2. Bgt_FuncExp'!$I$99/12</f>
        <v>0</v>
      </c>
      <c r="J22" s="163">
        <f>-'A2. Bgt_FuncExp'!$I$99/12</f>
        <v>0</v>
      </c>
      <c r="K22" s="163">
        <f>-'A2. Bgt_FuncExp'!$I$99/12</f>
        <v>0</v>
      </c>
      <c r="L22" s="163">
        <f>-'A2. Bgt_FuncExp'!$I$99/12</f>
        <v>0</v>
      </c>
      <c r="M22" s="163">
        <f>-'A2. Bgt_FuncExp'!$I$99/12</f>
        <v>0</v>
      </c>
      <c r="N22" s="163">
        <f>-'A2. Bgt_FuncExp'!$I$99/12</f>
        <v>0</v>
      </c>
      <c r="O22" s="163">
        <f>-'A2. Bgt_FuncExp'!$I$99/12</f>
        <v>0</v>
      </c>
      <c r="P22" s="163">
        <f>-'A2. Bgt_FuncExp'!$I$99/12</f>
        <v>0</v>
      </c>
      <c r="R22" s="215">
        <v>7.5</v>
      </c>
      <c r="S22" s="242"/>
    </row>
    <row r="23" spans="1:19" ht="16.95" customHeight="1" x14ac:dyDescent="0.25">
      <c r="A23" s="216">
        <f t="shared" si="0"/>
        <v>7.6</v>
      </c>
      <c r="B23" s="202" t="s">
        <v>378</v>
      </c>
      <c r="D23" s="165">
        <f t="shared" si="1"/>
        <v>-2000.0000000000002</v>
      </c>
      <c r="E23" s="163">
        <f>-'A2. Bgt_FuncExp'!$I$106/12</f>
        <v>-166.66666666666666</v>
      </c>
      <c r="F23" s="163">
        <f>-'A2. Bgt_FuncExp'!$I$106/12</f>
        <v>-166.66666666666666</v>
      </c>
      <c r="G23" s="163">
        <f>-'A2. Bgt_FuncExp'!$I$106/12</f>
        <v>-166.66666666666666</v>
      </c>
      <c r="H23" s="163">
        <f>-'A2. Bgt_FuncExp'!$I$106/12</f>
        <v>-166.66666666666666</v>
      </c>
      <c r="I23" s="163">
        <f>-'A2. Bgt_FuncExp'!$I$106/12</f>
        <v>-166.66666666666666</v>
      </c>
      <c r="J23" s="163">
        <f>-'A2. Bgt_FuncExp'!$I$106/12</f>
        <v>-166.66666666666666</v>
      </c>
      <c r="K23" s="163">
        <f>-'A2. Bgt_FuncExp'!$I$106/12</f>
        <v>-166.66666666666666</v>
      </c>
      <c r="L23" s="163">
        <f>-'A2. Bgt_FuncExp'!$I$106/12</f>
        <v>-166.66666666666666</v>
      </c>
      <c r="M23" s="163">
        <f>-'A2. Bgt_FuncExp'!$I$106/12</f>
        <v>-166.66666666666666</v>
      </c>
      <c r="N23" s="163">
        <f>-'A2. Bgt_FuncExp'!$I$106/12</f>
        <v>-166.66666666666666</v>
      </c>
      <c r="O23" s="163">
        <f>-'A2. Bgt_FuncExp'!$I$106/12</f>
        <v>-166.66666666666666</v>
      </c>
      <c r="P23" s="163">
        <f>-'A2. Bgt_FuncExp'!$I$106/12</f>
        <v>-166.66666666666666</v>
      </c>
      <c r="R23" s="215">
        <v>7.6</v>
      </c>
      <c r="S23" s="242"/>
    </row>
    <row r="24" spans="1:19" ht="16.95" customHeight="1" x14ac:dyDescent="0.25">
      <c r="A24" s="216">
        <f t="shared" si="0"/>
        <v>7.7</v>
      </c>
      <c r="B24" s="202" t="s">
        <v>379</v>
      </c>
      <c r="D24" s="165">
        <f t="shared" si="1"/>
        <v>0</v>
      </c>
      <c r="E24" s="163">
        <f>-'A2. Bgt_FuncExp'!$I$110/12</f>
        <v>0</v>
      </c>
      <c r="F24" s="163">
        <f>-'A2. Bgt_FuncExp'!$I$110/12</f>
        <v>0</v>
      </c>
      <c r="G24" s="163">
        <f>-'A2. Bgt_FuncExp'!$I$110/12</f>
        <v>0</v>
      </c>
      <c r="H24" s="163">
        <f>-'A2. Bgt_FuncExp'!$I$110/12</f>
        <v>0</v>
      </c>
      <c r="I24" s="163">
        <f>-'A2. Bgt_FuncExp'!$I$110/12</f>
        <v>0</v>
      </c>
      <c r="J24" s="163">
        <f>-'A2. Bgt_FuncExp'!$I$110/12</f>
        <v>0</v>
      </c>
      <c r="K24" s="163">
        <f>-'A2. Bgt_FuncExp'!$I$110/12</f>
        <v>0</v>
      </c>
      <c r="L24" s="163">
        <f>-'A2. Bgt_FuncExp'!$I$110/12</f>
        <v>0</v>
      </c>
      <c r="M24" s="163">
        <f>-'A2. Bgt_FuncExp'!$I$110/12</f>
        <v>0</v>
      </c>
      <c r="N24" s="163">
        <f>-'A2. Bgt_FuncExp'!$I$110/12</f>
        <v>0</v>
      </c>
      <c r="O24" s="163">
        <f>-'A2. Bgt_FuncExp'!$I$110/12</f>
        <v>0</v>
      </c>
      <c r="P24" s="163">
        <f>-'A2. Bgt_FuncExp'!$I$110/12</f>
        <v>0</v>
      </c>
      <c r="R24" s="215">
        <v>7.7</v>
      </c>
      <c r="S24" s="242"/>
    </row>
    <row r="25" spans="1:19" ht="16.95" customHeight="1" x14ac:dyDescent="0.25">
      <c r="A25" s="173">
        <f t="shared" si="0"/>
        <v>8</v>
      </c>
      <c r="B25" s="194" t="s">
        <v>240</v>
      </c>
      <c r="D25" s="167">
        <f t="shared" ref="D25:P25" si="2">SUM(D11:D24)</f>
        <v>241939.41999999993</v>
      </c>
      <c r="E25" s="167">
        <f t="shared" si="2"/>
        <v>668308.33333333337</v>
      </c>
      <c r="F25" s="167">
        <f t="shared" si="2"/>
        <v>-111691.66666666667</v>
      </c>
      <c r="G25" s="167">
        <f t="shared" si="2"/>
        <v>-111691.66666666667</v>
      </c>
      <c r="H25" s="167">
        <f t="shared" si="2"/>
        <v>-111691.66666666667</v>
      </c>
      <c r="I25" s="167">
        <f t="shared" si="2"/>
        <v>378308.33333333331</v>
      </c>
      <c r="J25" s="167">
        <f t="shared" si="2"/>
        <v>-61691.666666666664</v>
      </c>
      <c r="K25" s="167">
        <f t="shared" si="2"/>
        <v>-61691.666666666664</v>
      </c>
      <c r="L25" s="167">
        <f t="shared" si="2"/>
        <v>-111691.66666666667</v>
      </c>
      <c r="M25" s="167">
        <f t="shared" si="2"/>
        <v>-111691.66666666667</v>
      </c>
      <c r="N25" s="167">
        <f t="shared" si="2"/>
        <v>-111691.66666666667</v>
      </c>
      <c r="O25" s="167">
        <f t="shared" si="2"/>
        <v>-111691.66666666667</v>
      </c>
      <c r="P25" s="167">
        <f t="shared" si="2"/>
        <v>100547.75333333334</v>
      </c>
      <c r="R25" s="173">
        <v>8</v>
      </c>
      <c r="S25" s="242" t="s">
        <v>22</v>
      </c>
    </row>
    <row r="26" spans="1:19" ht="16.95" customHeight="1" x14ac:dyDescent="0.25">
      <c r="B26" s="2" t="s">
        <v>241</v>
      </c>
      <c r="D26" s="199"/>
      <c r="E26" s="199"/>
      <c r="F26" s="199"/>
      <c r="G26" s="199"/>
      <c r="H26" s="199"/>
      <c r="I26" s="199"/>
      <c r="J26" s="199"/>
      <c r="K26" s="199"/>
      <c r="L26" s="199"/>
      <c r="M26" s="199"/>
      <c r="N26" s="199"/>
      <c r="O26" s="199"/>
      <c r="P26" s="199"/>
      <c r="S26" s="237"/>
    </row>
    <row r="27" spans="1:19" ht="16.95" customHeight="1" x14ac:dyDescent="0.25">
      <c r="B27" s="192" t="s">
        <v>242</v>
      </c>
      <c r="D27" s="297"/>
      <c r="E27" s="297"/>
      <c r="F27" s="297"/>
      <c r="G27" s="297"/>
      <c r="H27" s="297"/>
      <c r="I27" s="297"/>
      <c r="J27" s="297"/>
      <c r="K27" s="297"/>
      <c r="L27" s="297"/>
      <c r="M27" s="297"/>
      <c r="N27" s="297"/>
      <c r="O27" s="297"/>
      <c r="P27" s="297"/>
      <c r="S27" s="237"/>
    </row>
    <row r="28" spans="1:19" ht="16.95" customHeight="1" x14ac:dyDescent="0.25">
      <c r="A28" s="173">
        <f t="shared" si="0"/>
        <v>9</v>
      </c>
      <c r="B28" s="195" t="s">
        <v>387</v>
      </c>
      <c r="D28" s="165">
        <f>SUM(E28:P28)</f>
        <v>0</v>
      </c>
      <c r="E28" s="163">
        <v>0</v>
      </c>
      <c r="F28" s="163">
        <v>0</v>
      </c>
      <c r="G28" s="163">
        <v>0</v>
      </c>
      <c r="H28" s="163">
        <v>0</v>
      </c>
      <c r="I28" s="163">
        <v>0</v>
      </c>
      <c r="J28" s="163">
        <v>0</v>
      </c>
      <c r="K28" s="163">
        <v>0</v>
      </c>
      <c r="L28" s="163">
        <v>0</v>
      </c>
      <c r="M28" s="163">
        <v>0</v>
      </c>
      <c r="N28" s="163">
        <v>0</v>
      </c>
      <c r="O28" s="163">
        <v>0</v>
      </c>
      <c r="P28" s="163">
        <v>0</v>
      </c>
      <c r="R28" s="173">
        <f>R25+1</f>
        <v>9</v>
      </c>
      <c r="S28" s="196" t="s">
        <v>652</v>
      </c>
    </row>
    <row r="29" spans="1:19" ht="16.95" customHeight="1" x14ac:dyDescent="0.25">
      <c r="A29" s="173">
        <f t="shared" si="0"/>
        <v>10</v>
      </c>
      <c r="B29" s="195" t="s">
        <v>388</v>
      </c>
      <c r="D29" s="165">
        <f>SUM(E29:P29)</f>
        <v>0</v>
      </c>
      <c r="E29" s="163">
        <v>0</v>
      </c>
      <c r="F29" s="163">
        <v>0</v>
      </c>
      <c r="G29" s="163">
        <v>0</v>
      </c>
      <c r="H29" s="163">
        <v>0</v>
      </c>
      <c r="I29" s="163">
        <v>0</v>
      </c>
      <c r="J29" s="163">
        <v>0</v>
      </c>
      <c r="K29" s="163">
        <v>0</v>
      </c>
      <c r="L29" s="163">
        <v>0</v>
      </c>
      <c r="M29" s="163">
        <v>0</v>
      </c>
      <c r="N29" s="163">
        <v>0</v>
      </c>
      <c r="O29" s="163">
        <v>0</v>
      </c>
      <c r="P29" s="163">
        <v>0</v>
      </c>
      <c r="R29" s="173">
        <f>R28+1</f>
        <v>10</v>
      </c>
      <c r="S29" s="196" t="s">
        <v>575</v>
      </c>
    </row>
    <row r="30" spans="1:19" ht="16.95" customHeight="1" x14ac:dyDescent="0.25">
      <c r="A30" s="173">
        <f t="shared" si="0"/>
        <v>11</v>
      </c>
      <c r="B30" s="52" t="s">
        <v>243</v>
      </c>
      <c r="D30" s="167">
        <f>SUM(E28:P29)</f>
        <v>0</v>
      </c>
      <c r="E30" s="167">
        <f>SUM(E28:P29)</f>
        <v>0</v>
      </c>
      <c r="F30" s="167">
        <f>SUM(F28:P29)</f>
        <v>0</v>
      </c>
      <c r="G30" s="167">
        <f>SUM(G28:P29)</f>
        <v>0</v>
      </c>
      <c r="H30" s="167">
        <f>SUM(H28:P29)</f>
        <v>0</v>
      </c>
      <c r="I30" s="167">
        <f>SUM(I28:P29)</f>
        <v>0</v>
      </c>
      <c r="J30" s="167">
        <f>SUM(J28:P29)</f>
        <v>0</v>
      </c>
      <c r="K30" s="167">
        <f>SUM(K28:P29)</f>
        <v>0</v>
      </c>
      <c r="L30" s="167">
        <f>SUM(L28:P29)</f>
        <v>0</v>
      </c>
      <c r="M30" s="167">
        <f>SUM(M28:P29)</f>
        <v>0</v>
      </c>
      <c r="N30" s="167">
        <f>SUM(N28:P29)</f>
        <v>0</v>
      </c>
      <c r="O30" s="167">
        <f>SUM(O28:P29)</f>
        <v>0</v>
      </c>
      <c r="P30" s="167">
        <f>SUM(P28:P29)</f>
        <v>0</v>
      </c>
      <c r="R30" s="173">
        <f>R29+1</f>
        <v>11</v>
      </c>
      <c r="S30" s="242" t="s">
        <v>244</v>
      </c>
    </row>
    <row r="31" spans="1:19" ht="16.95" customHeight="1" x14ac:dyDescent="0.25">
      <c r="D31" s="199"/>
      <c r="E31" s="199"/>
      <c r="F31" s="199"/>
      <c r="G31" s="199"/>
      <c r="H31" s="199"/>
      <c r="I31" s="199"/>
      <c r="J31" s="199"/>
      <c r="K31" s="199"/>
      <c r="L31" s="199"/>
      <c r="M31" s="199"/>
      <c r="N31" s="199"/>
      <c r="O31" s="199"/>
      <c r="P31" s="199"/>
      <c r="S31" s="237"/>
    </row>
    <row r="32" spans="1:19" ht="16.95" customHeight="1" x14ac:dyDescent="0.25">
      <c r="B32" s="192" t="s">
        <v>245</v>
      </c>
      <c r="D32" s="297"/>
      <c r="E32" s="297"/>
      <c r="F32" s="297"/>
      <c r="G32" s="297"/>
      <c r="H32" s="297"/>
      <c r="I32" s="297"/>
      <c r="J32" s="297"/>
      <c r="K32" s="297"/>
      <c r="L32" s="297"/>
      <c r="M32" s="297"/>
      <c r="N32" s="297"/>
      <c r="O32" s="297"/>
      <c r="P32" s="297"/>
      <c r="S32" s="237"/>
    </row>
    <row r="33" spans="1:19" ht="16.95" customHeight="1" x14ac:dyDescent="0.25">
      <c r="A33" s="173">
        <f t="shared" si="0"/>
        <v>12</v>
      </c>
      <c r="B33" s="195" t="s">
        <v>389</v>
      </c>
      <c r="D33" s="165">
        <f>SUM(E33:P33)</f>
        <v>0</v>
      </c>
      <c r="E33" s="163">
        <v>0</v>
      </c>
      <c r="F33" s="163">
        <v>0</v>
      </c>
      <c r="G33" s="163">
        <v>0</v>
      </c>
      <c r="H33" s="163">
        <v>0</v>
      </c>
      <c r="I33" s="163">
        <v>0</v>
      </c>
      <c r="J33" s="163">
        <v>0</v>
      </c>
      <c r="K33" s="163">
        <v>0</v>
      </c>
      <c r="L33" s="163">
        <v>0</v>
      </c>
      <c r="M33" s="163">
        <v>0</v>
      </c>
      <c r="N33" s="163">
        <v>0</v>
      </c>
      <c r="O33" s="163">
        <v>0</v>
      </c>
      <c r="P33" s="163">
        <v>0</v>
      </c>
      <c r="R33" s="173">
        <f>R30+1</f>
        <v>12</v>
      </c>
      <c r="S33" s="196" t="s">
        <v>647</v>
      </c>
    </row>
    <row r="34" spans="1:19" ht="16.95" customHeight="1" x14ac:dyDescent="0.25">
      <c r="A34" s="173">
        <f t="shared" si="0"/>
        <v>13</v>
      </c>
      <c r="B34" s="195" t="s">
        <v>390</v>
      </c>
      <c r="D34" s="165">
        <f>SUM(E34:P34)</f>
        <v>0</v>
      </c>
      <c r="E34" s="163">
        <v>0</v>
      </c>
      <c r="F34" s="163">
        <v>0</v>
      </c>
      <c r="G34" s="163">
        <v>0</v>
      </c>
      <c r="H34" s="163">
        <v>0</v>
      </c>
      <c r="I34" s="163">
        <v>0</v>
      </c>
      <c r="J34" s="163">
        <v>0</v>
      </c>
      <c r="K34" s="163">
        <v>0</v>
      </c>
      <c r="L34" s="163">
        <v>0</v>
      </c>
      <c r="M34" s="163">
        <v>0</v>
      </c>
      <c r="N34" s="163">
        <v>0</v>
      </c>
      <c r="O34" s="163">
        <v>0</v>
      </c>
      <c r="P34" s="163">
        <v>0</v>
      </c>
      <c r="R34" s="173">
        <f>R33+1</f>
        <v>13</v>
      </c>
      <c r="S34" s="196" t="s">
        <v>573</v>
      </c>
    </row>
    <row r="35" spans="1:19" ht="16.95" customHeight="1" x14ac:dyDescent="0.25">
      <c r="A35" s="173">
        <f t="shared" si="0"/>
        <v>14</v>
      </c>
      <c r="B35" s="195" t="s">
        <v>391</v>
      </c>
      <c r="D35" s="165">
        <f>SUM(E35:P35)</f>
        <v>0</v>
      </c>
      <c r="E35" s="163">
        <v>0</v>
      </c>
      <c r="F35" s="163">
        <v>0</v>
      </c>
      <c r="G35" s="163">
        <v>0</v>
      </c>
      <c r="H35" s="163">
        <v>0</v>
      </c>
      <c r="I35" s="163">
        <v>0</v>
      </c>
      <c r="J35" s="163">
        <v>0</v>
      </c>
      <c r="K35" s="163">
        <v>0</v>
      </c>
      <c r="L35" s="163">
        <v>0</v>
      </c>
      <c r="M35" s="163">
        <v>0</v>
      </c>
      <c r="N35" s="163">
        <v>0</v>
      </c>
      <c r="O35" s="163">
        <v>0</v>
      </c>
      <c r="P35" s="163">
        <v>0</v>
      </c>
      <c r="R35" s="173">
        <f>R34+1</f>
        <v>14</v>
      </c>
      <c r="S35" s="196" t="s">
        <v>647</v>
      </c>
    </row>
    <row r="36" spans="1:19" ht="16.95" customHeight="1" x14ac:dyDescent="0.25">
      <c r="A36" s="173">
        <f t="shared" si="0"/>
        <v>15</v>
      </c>
      <c r="B36" s="195" t="s">
        <v>392</v>
      </c>
      <c r="D36" s="165">
        <f>SUM(E36:P36)</f>
        <v>0</v>
      </c>
      <c r="E36" s="163">
        <v>0</v>
      </c>
      <c r="F36" s="163">
        <v>0</v>
      </c>
      <c r="G36" s="163">
        <v>0</v>
      </c>
      <c r="H36" s="163">
        <v>0</v>
      </c>
      <c r="I36" s="163">
        <v>0</v>
      </c>
      <c r="J36" s="163">
        <v>0</v>
      </c>
      <c r="K36" s="163">
        <v>0</v>
      </c>
      <c r="L36" s="163">
        <v>0</v>
      </c>
      <c r="M36" s="163">
        <v>0</v>
      </c>
      <c r="N36" s="163">
        <v>0</v>
      </c>
      <c r="O36" s="163">
        <v>0</v>
      </c>
      <c r="P36" s="163">
        <v>0</v>
      </c>
      <c r="R36" s="173">
        <f>R35+1</f>
        <v>15</v>
      </c>
      <c r="S36" s="196" t="s">
        <v>647</v>
      </c>
    </row>
    <row r="37" spans="1:19" ht="16.95" customHeight="1" x14ac:dyDescent="0.25">
      <c r="A37" s="173">
        <f t="shared" si="0"/>
        <v>16</v>
      </c>
      <c r="B37" s="52" t="s">
        <v>246</v>
      </c>
      <c r="D37" s="200">
        <f>SUM(D33:D36)</f>
        <v>0</v>
      </c>
      <c r="E37" s="167">
        <f t="shared" ref="E37:P37" si="3">SUM(E33:E36)</f>
        <v>0</v>
      </c>
      <c r="F37" s="167">
        <f t="shared" si="3"/>
        <v>0</v>
      </c>
      <c r="G37" s="167">
        <f t="shared" si="3"/>
        <v>0</v>
      </c>
      <c r="H37" s="167">
        <f t="shared" si="3"/>
        <v>0</v>
      </c>
      <c r="I37" s="167">
        <f t="shared" si="3"/>
        <v>0</v>
      </c>
      <c r="J37" s="167">
        <f t="shared" si="3"/>
        <v>0</v>
      </c>
      <c r="K37" s="167">
        <f t="shared" si="3"/>
        <v>0</v>
      </c>
      <c r="L37" s="167">
        <f t="shared" si="3"/>
        <v>0</v>
      </c>
      <c r="M37" s="167">
        <f t="shared" si="3"/>
        <v>0</v>
      </c>
      <c r="N37" s="167">
        <f t="shared" si="3"/>
        <v>0</v>
      </c>
      <c r="O37" s="167">
        <f t="shared" si="3"/>
        <v>0</v>
      </c>
      <c r="P37" s="167">
        <f t="shared" si="3"/>
        <v>0</v>
      </c>
      <c r="R37" s="173">
        <f>R36+1</f>
        <v>16</v>
      </c>
      <c r="S37" s="3" t="s">
        <v>244</v>
      </c>
    </row>
    <row r="38" spans="1:19" ht="16.95" customHeight="1" x14ac:dyDescent="0.25">
      <c r="D38" s="199"/>
      <c r="E38" s="199"/>
      <c r="F38" s="199"/>
      <c r="G38" s="199"/>
      <c r="H38" s="199"/>
      <c r="I38" s="199"/>
      <c r="J38" s="199"/>
      <c r="K38" s="199"/>
      <c r="L38" s="199"/>
      <c r="M38" s="199"/>
      <c r="N38" s="199"/>
      <c r="O38" s="199"/>
      <c r="P38" s="199"/>
    </row>
    <row r="39" spans="1:19" ht="16.95" customHeight="1" x14ac:dyDescent="0.25">
      <c r="A39" s="173">
        <f t="shared" si="0"/>
        <v>17</v>
      </c>
      <c r="B39" s="52" t="s">
        <v>247</v>
      </c>
      <c r="D39" s="167">
        <f>D25-D30-D37</f>
        <v>241939.41999999993</v>
      </c>
      <c r="E39" s="167">
        <f>E25-E30-E37</f>
        <v>668308.33333333337</v>
      </c>
      <c r="F39" s="167">
        <f t="shared" ref="F39:P39" si="4">F25-F30-F37</f>
        <v>-111691.66666666667</v>
      </c>
      <c r="G39" s="167">
        <f t="shared" si="4"/>
        <v>-111691.66666666667</v>
      </c>
      <c r="H39" s="167">
        <f t="shared" si="4"/>
        <v>-111691.66666666667</v>
      </c>
      <c r="I39" s="167">
        <f t="shared" si="4"/>
        <v>378308.33333333331</v>
      </c>
      <c r="J39" s="167">
        <f t="shared" si="4"/>
        <v>-61691.666666666664</v>
      </c>
      <c r="K39" s="167">
        <f t="shared" si="4"/>
        <v>-61691.666666666664</v>
      </c>
      <c r="L39" s="167">
        <f t="shared" si="4"/>
        <v>-111691.66666666667</v>
      </c>
      <c r="M39" s="167">
        <f t="shared" si="4"/>
        <v>-111691.66666666667</v>
      </c>
      <c r="N39" s="167">
        <f t="shared" si="4"/>
        <v>-111691.66666666667</v>
      </c>
      <c r="O39" s="167">
        <f t="shared" si="4"/>
        <v>-111691.66666666667</v>
      </c>
      <c r="P39" s="167">
        <f t="shared" si="4"/>
        <v>100547.75333333334</v>
      </c>
      <c r="R39" s="173">
        <f>R37+1</f>
        <v>17</v>
      </c>
      <c r="S39" s="3" t="s">
        <v>244</v>
      </c>
    </row>
    <row r="40" spans="1:19" ht="16.95" customHeight="1" x14ac:dyDescent="0.25">
      <c r="D40" s="199"/>
      <c r="E40" s="199"/>
      <c r="F40" s="199"/>
      <c r="G40" s="199"/>
      <c r="H40" s="199"/>
      <c r="I40" s="199"/>
      <c r="J40" s="199"/>
      <c r="K40" s="199"/>
      <c r="L40" s="199"/>
      <c r="M40" s="199"/>
      <c r="N40" s="199"/>
      <c r="O40" s="199"/>
      <c r="P40" s="199"/>
    </row>
    <row r="41" spans="1:19" ht="16.95" customHeight="1" x14ac:dyDescent="0.25">
      <c r="A41" s="173">
        <f t="shared" si="0"/>
        <v>18</v>
      </c>
      <c r="B41" s="52" t="s">
        <v>248</v>
      </c>
      <c r="D41" s="167">
        <f>E41</f>
        <v>209320.41250000012</v>
      </c>
      <c r="E41" s="166">
        <f>'A3. Estimated Cash Flow Yr 1'!P42</f>
        <v>209320.41250000012</v>
      </c>
      <c r="F41" s="167">
        <f t="shared" ref="F41:P41" si="5">E42</f>
        <v>877628.74583333347</v>
      </c>
      <c r="G41" s="167">
        <f t="shared" si="5"/>
        <v>765937.07916666684</v>
      </c>
      <c r="H41" s="167">
        <f t="shared" si="5"/>
        <v>654245.41250000021</v>
      </c>
      <c r="I41" s="167">
        <f t="shared" si="5"/>
        <v>542553.74583333358</v>
      </c>
      <c r="J41" s="167">
        <f t="shared" si="5"/>
        <v>920862.07916666684</v>
      </c>
      <c r="K41" s="167">
        <f t="shared" si="5"/>
        <v>859170.41250000021</v>
      </c>
      <c r="L41" s="167">
        <f t="shared" si="5"/>
        <v>797478.74583333358</v>
      </c>
      <c r="M41" s="167">
        <f t="shared" si="5"/>
        <v>685787.07916666695</v>
      </c>
      <c r="N41" s="167">
        <f t="shared" si="5"/>
        <v>574095.41250000033</v>
      </c>
      <c r="O41" s="167">
        <f t="shared" si="5"/>
        <v>462403.74583333364</v>
      </c>
      <c r="P41" s="167">
        <f t="shared" si="5"/>
        <v>350712.07916666695</v>
      </c>
      <c r="R41" s="173">
        <f>R39+1</f>
        <v>18</v>
      </c>
      <c r="S41" s="3" t="s">
        <v>249</v>
      </c>
    </row>
    <row r="42" spans="1:19" ht="16.95" customHeight="1" x14ac:dyDescent="0.25">
      <c r="A42" s="173">
        <f t="shared" si="0"/>
        <v>20</v>
      </c>
      <c r="B42" s="52" t="s">
        <v>250</v>
      </c>
      <c r="D42" s="167">
        <f t="shared" ref="D42:P42" si="6">D39+D41</f>
        <v>451259.83250000002</v>
      </c>
      <c r="E42" s="167">
        <f>E39+E41</f>
        <v>877628.74583333347</v>
      </c>
      <c r="F42" s="167">
        <f t="shared" si="6"/>
        <v>765937.07916666684</v>
      </c>
      <c r="G42" s="167">
        <f t="shared" si="6"/>
        <v>654245.41250000021</v>
      </c>
      <c r="H42" s="167">
        <f t="shared" si="6"/>
        <v>542553.74583333358</v>
      </c>
      <c r="I42" s="167">
        <f t="shared" si="6"/>
        <v>920862.07916666684</v>
      </c>
      <c r="J42" s="167">
        <f t="shared" si="6"/>
        <v>859170.41250000021</v>
      </c>
      <c r="K42" s="167">
        <f t="shared" si="6"/>
        <v>797478.74583333358</v>
      </c>
      <c r="L42" s="167">
        <f t="shared" si="6"/>
        <v>685787.07916666695</v>
      </c>
      <c r="M42" s="167">
        <f t="shared" si="6"/>
        <v>574095.41250000033</v>
      </c>
      <c r="N42" s="167">
        <f t="shared" si="6"/>
        <v>462403.74583333364</v>
      </c>
      <c r="O42" s="167">
        <f t="shared" si="6"/>
        <v>350712.07916666695</v>
      </c>
      <c r="P42" s="167">
        <f t="shared" si="6"/>
        <v>451259.83250000031</v>
      </c>
      <c r="R42" s="173">
        <v>20</v>
      </c>
      <c r="S42" s="3" t="s">
        <v>244</v>
      </c>
    </row>
  </sheetData>
  <mergeCells count="1">
    <mergeCell ref="A4:P4"/>
  </mergeCells>
  <pageMargins left="0.7" right="0.7" top="0.75" bottom="0.75" header="0.3" footer="0.3"/>
  <pageSetup scale="46" orientation="portrait" r:id="rId1"/>
  <colBreaks count="1" manualBreakCount="1">
    <brk id="17" max="1048575" man="1"/>
  </colBreaks>
  <ignoredErrors>
    <ignoredError sqref="D25:P25" emptyCellReferenc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42"/>
  <sheetViews>
    <sheetView zoomScale="50" zoomScaleNormal="50" workbookViewId="0">
      <selection activeCell="S34" sqref="S34"/>
    </sheetView>
  </sheetViews>
  <sheetFormatPr defaultColWidth="8.77734375" defaultRowHeight="16.95" customHeight="1" outlineLevelCol="1" x14ac:dyDescent="0.25"/>
  <cols>
    <col min="1" max="1" width="8.77734375" style="173"/>
    <col min="2" max="2" width="53.77734375" style="174" bestFit="1" customWidth="1"/>
    <col min="3" max="3" width="2.109375" style="174" customWidth="1"/>
    <col min="4" max="4" width="9.77734375" style="174" customWidth="1"/>
    <col min="5" max="16" width="9.77734375" style="174" customWidth="1" outlineLevel="1"/>
    <col min="17" max="17" width="3.44140625" style="174" customWidth="1"/>
    <col min="18" max="18" width="6.77734375" style="173" customWidth="1"/>
    <col min="19" max="19" width="134.77734375" style="175" customWidth="1"/>
    <col min="20" max="257" width="8.77734375" style="174"/>
    <col min="258" max="258" width="53.77734375" style="174" bestFit="1" customWidth="1"/>
    <col min="259" max="259" width="2.109375" style="174" customWidth="1"/>
    <col min="260" max="260" width="10" style="174" bestFit="1" customWidth="1"/>
    <col min="261" max="261" width="9.44140625" style="174" bestFit="1" customWidth="1"/>
    <col min="262" max="262" width="10" style="174" customWidth="1"/>
    <col min="263" max="263" width="11" style="174" customWidth="1"/>
    <col min="264" max="264" width="10" style="174" customWidth="1"/>
    <col min="265" max="266" width="10.33203125" style="174" customWidth="1"/>
    <col min="267" max="268" width="10" style="174" customWidth="1"/>
    <col min="269" max="272" width="9" style="174" bestFit="1" customWidth="1"/>
    <col min="273" max="273" width="3.44140625" style="174" customWidth="1"/>
    <col min="274" max="274" width="6.77734375" style="174" customWidth="1"/>
    <col min="275" max="275" width="55.44140625" style="174" customWidth="1"/>
    <col min="276" max="513" width="8.77734375" style="174"/>
    <col min="514" max="514" width="53.77734375" style="174" bestFit="1" customWidth="1"/>
    <col min="515" max="515" width="2.109375" style="174" customWidth="1"/>
    <col min="516" max="516" width="10" style="174" bestFit="1" customWidth="1"/>
    <col min="517" max="517" width="9.44140625" style="174" bestFit="1" customWidth="1"/>
    <col min="518" max="518" width="10" style="174" customWidth="1"/>
    <col min="519" max="519" width="11" style="174" customWidth="1"/>
    <col min="520" max="520" width="10" style="174" customWidth="1"/>
    <col min="521" max="522" width="10.33203125" style="174" customWidth="1"/>
    <col min="523" max="524" width="10" style="174" customWidth="1"/>
    <col min="525" max="528" width="9" style="174" bestFit="1" customWidth="1"/>
    <col min="529" max="529" width="3.44140625" style="174" customWidth="1"/>
    <col min="530" max="530" width="6.77734375" style="174" customWidth="1"/>
    <col min="531" max="531" width="55.44140625" style="174" customWidth="1"/>
    <col min="532" max="769" width="8.77734375" style="174"/>
    <col min="770" max="770" width="53.77734375" style="174" bestFit="1" customWidth="1"/>
    <col min="771" max="771" width="2.109375" style="174" customWidth="1"/>
    <col min="772" max="772" width="10" style="174" bestFit="1" customWidth="1"/>
    <col min="773" max="773" width="9.44140625" style="174" bestFit="1" customWidth="1"/>
    <col min="774" max="774" width="10" style="174" customWidth="1"/>
    <col min="775" max="775" width="11" style="174" customWidth="1"/>
    <col min="776" max="776" width="10" style="174" customWidth="1"/>
    <col min="777" max="778" width="10.33203125" style="174" customWidth="1"/>
    <col min="779" max="780" width="10" style="174" customWidth="1"/>
    <col min="781" max="784" width="9" style="174" bestFit="1" customWidth="1"/>
    <col min="785" max="785" width="3.44140625" style="174" customWidth="1"/>
    <col min="786" max="786" width="6.77734375" style="174" customWidth="1"/>
    <col min="787" max="787" width="55.44140625" style="174" customWidth="1"/>
    <col min="788" max="1025" width="8.77734375" style="174"/>
    <col min="1026" max="1026" width="53.77734375" style="174" bestFit="1" customWidth="1"/>
    <col min="1027" max="1027" width="2.109375" style="174" customWidth="1"/>
    <col min="1028" max="1028" width="10" style="174" bestFit="1" customWidth="1"/>
    <col min="1029" max="1029" width="9.44140625" style="174" bestFit="1" customWidth="1"/>
    <col min="1030" max="1030" width="10" style="174" customWidth="1"/>
    <col min="1031" max="1031" width="11" style="174" customWidth="1"/>
    <col min="1032" max="1032" width="10" style="174" customWidth="1"/>
    <col min="1033" max="1034" width="10.33203125" style="174" customWidth="1"/>
    <col min="1035" max="1036" width="10" style="174" customWidth="1"/>
    <col min="1037" max="1040" width="9" style="174" bestFit="1" customWidth="1"/>
    <col min="1041" max="1041" width="3.44140625" style="174" customWidth="1"/>
    <col min="1042" max="1042" width="6.77734375" style="174" customWidth="1"/>
    <col min="1043" max="1043" width="55.44140625" style="174" customWidth="1"/>
    <col min="1044" max="1281" width="8.77734375" style="174"/>
    <col min="1282" max="1282" width="53.77734375" style="174" bestFit="1" customWidth="1"/>
    <col min="1283" max="1283" width="2.109375" style="174" customWidth="1"/>
    <col min="1284" max="1284" width="10" style="174" bestFit="1" customWidth="1"/>
    <col min="1285" max="1285" width="9.44140625" style="174" bestFit="1" customWidth="1"/>
    <col min="1286" max="1286" width="10" style="174" customWidth="1"/>
    <col min="1287" max="1287" width="11" style="174" customWidth="1"/>
    <col min="1288" max="1288" width="10" style="174" customWidth="1"/>
    <col min="1289" max="1290" width="10.33203125" style="174" customWidth="1"/>
    <col min="1291" max="1292" width="10" style="174" customWidth="1"/>
    <col min="1293" max="1296" width="9" style="174" bestFit="1" customWidth="1"/>
    <col min="1297" max="1297" width="3.44140625" style="174" customWidth="1"/>
    <col min="1298" max="1298" width="6.77734375" style="174" customWidth="1"/>
    <col min="1299" max="1299" width="55.44140625" style="174" customWidth="1"/>
    <col min="1300" max="1537" width="8.77734375" style="174"/>
    <col min="1538" max="1538" width="53.77734375" style="174" bestFit="1" customWidth="1"/>
    <col min="1539" max="1539" width="2.109375" style="174" customWidth="1"/>
    <col min="1540" max="1540" width="10" style="174" bestFit="1" customWidth="1"/>
    <col min="1541" max="1541" width="9.44140625" style="174" bestFit="1" customWidth="1"/>
    <col min="1542" max="1542" width="10" style="174" customWidth="1"/>
    <col min="1543" max="1543" width="11" style="174" customWidth="1"/>
    <col min="1544" max="1544" width="10" style="174" customWidth="1"/>
    <col min="1545" max="1546" width="10.33203125" style="174" customWidth="1"/>
    <col min="1547" max="1548" width="10" style="174" customWidth="1"/>
    <col min="1549" max="1552" width="9" style="174" bestFit="1" customWidth="1"/>
    <col min="1553" max="1553" width="3.44140625" style="174" customWidth="1"/>
    <col min="1554" max="1554" width="6.77734375" style="174" customWidth="1"/>
    <col min="1555" max="1555" width="55.44140625" style="174" customWidth="1"/>
    <col min="1556" max="1793" width="8.77734375" style="174"/>
    <col min="1794" max="1794" width="53.77734375" style="174" bestFit="1" customWidth="1"/>
    <col min="1795" max="1795" width="2.109375" style="174" customWidth="1"/>
    <col min="1796" max="1796" width="10" style="174" bestFit="1" customWidth="1"/>
    <col min="1797" max="1797" width="9.44140625" style="174" bestFit="1" customWidth="1"/>
    <col min="1798" max="1798" width="10" style="174" customWidth="1"/>
    <col min="1799" max="1799" width="11" style="174" customWidth="1"/>
    <col min="1800" max="1800" width="10" style="174" customWidth="1"/>
    <col min="1801" max="1802" width="10.33203125" style="174" customWidth="1"/>
    <col min="1803" max="1804" width="10" style="174" customWidth="1"/>
    <col min="1805" max="1808" width="9" style="174" bestFit="1" customWidth="1"/>
    <col min="1809" max="1809" width="3.44140625" style="174" customWidth="1"/>
    <col min="1810" max="1810" width="6.77734375" style="174" customWidth="1"/>
    <col min="1811" max="1811" width="55.44140625" style="174" customWidth="1"/>
    <col min="1812" max="2049" width="8.77734375" style="174"/>
    <col min="2050" max="2050" width="53.77734375" style="174" bestFit="1" customWidth="1"/>
    <col min="2051" max="2051" width="2.109375" style="174" customWidth="1"/>
    <col min="2052" max="2052" width="10" style="174" bestFit="1" customWidth="1"/>
    <col min="2053" max="2053" width="9.44140625" style="174" bestFit="1" customWidth="1"/>
    <col min="2054" max="2054" width="10" style="174" customWidth="1"/>
    <col min="2055" max="2055" width="11" style="174" customWidth="1"/>
    <col min="2056" max="2056" width="10" style="174" customWidth="1"/>
    <col min="2057" max="2058" width="10.33203125" style="174" customWidth="1"/>
    <col min="2059" max="2060" width="10" style="174" customWidth="1"/>
    <col min="2061" max="2064" width="9" style="174" bestFit="1" customWidth="1"/>
    <col min="2065" max="2065" width="3.44140625" style="174" customWidth="1"/>
    <col min="2066" max="2066" width="6.77734375" style="174" customWidth="1"/>
    <col min="2067" max="2067" width="55.44140625" style="174" customWidth="1"/>
    <col min="2068" max="2305" width="8.77734375" style="174"/>
    <col min="2306" max="2306" width="53.77734375" style="174" bestFit="1" customWidth="1"/>
    <col min="2307" max="2307" width="2.109375" style="174" customWidth="1"/>
    <col min="2308" max="2308" width="10" style="174" bestFit="1" customWidth="1"/>
    <col min="2309" max="2309" width="9.44140625" style="174" bestFit="1" customWidth="1"/>
    <col min="2310" max="2310" width="10" style="174" customWidth="1"/>
    <col min="2311" max="2311" width="11" style="174" customWidth="1"/>
    <col min="2312" max="2312" width="10" style="174" customWidth="1"/>
    <col min="2313" max="2314" width="10.33203125" style="174" customWidth="1"/>
    <col min="2315" max="2316" width="10" style="174" customWidth="1"/>
    <col min="2317" max="2320" width="9" style="174" bestFit="1" customWidth="1"/>
    <col min="2321" max="2321" width="3.44140625" style="174" customWidth="1"/>
    <col min="2322" max="2322" width="6.77734375" style="174" customWidth="1"/>
    <col min="2323" max="2323" width="55.44140625" style="174" customWidth="1"/>
    <col min="2324" max="2561" width="8.77734375" style="174"/>
    <col min="2562" max="2562" width="53.77734375" style="174" bestFit="1" customWidth="1"/>
    <col min="2563" max="2563" width="2.109375" style="174" customWidth="1"/>
    <col min="2564" max="2564" width="10" style="174" bestFit="1" customWidth="1"/>
    <col min="2565" max="2565" width="9.44140625" style="174" bestFit="1" customWidth="1"/>
    <col min="2566" max="2566" width="10" style="174" customWidth="1"/>
    <col min="2567" max="2567" width="11" style="174" customWidth="1"/>
    <col min="2568" max="2568" width="10" style="174" customWidth="1"/>
    <col min="2569" max="2570" width="10.33203125" style="174" customWidth="1"/>
    <col min="2571" max="2572" width="10" style="174" customWidth="1"/>
    <col min="2573" max="2576" width="9" style="174" bestFit="1" customWidth="1"/>
    <col min="2577" max="2577" width="3.44140625" style="174" customWidth="1"/>
    <col min="2578" max="2578" width="6.77734375" style="174" customWidth="1"/>
    <col min="2579" max="2579" width="55.44140625" style="174" customWidth="1"/>
    <col min="2580" max="2817" width="8.77734375" style="174"/>
    <col min="2818" max="2818" width="53.77734375" style="174" bestFit="1" customWidth="1"/>
    <col min="2819" max="2819" width="2.109375" style="174" customWidth="1"/>
    <col min="2820" max="2820" width="10" style="174" bestFit="1" customWidth="1"/>
    <col min="2821" max="2821" width="9.44140625" style="174" bestFit="1" customWidth="1"/>
    <col min="2822" max="2822" width="10" style="174" customWidth="1"/>
    <col min="2823" max="2823" width="11" style="174" customWidth="1"/>
    <col min="2824" max="2824" width="10" style="174" customWidth="1"/>
    <col min="2825" max="2826" width="10.33203125" style="174" customWidth="1"/>
    <col min="2827" max="2828" width="10" style="174" customWidth="1"/>
    <col min="2829" max="2832" width="9" style="174" bestFit="1" customWidth="1"/>
    <col min="2833" max="2833" width="3.44140625" style="174" customWidth="1"/>
    <col min="2834" max="2834" width="6.77734375" style="174" customWidth="1"/>
    <col min="2835" max="2835" width="55.44140625" style="174" customWidth="1"/>
    <col min="2836" max="3073" width="8.77734375" style="174"/>
    <col min="3074" max="3074" width="53.77734375" style="174" bestFit="1" customWidth="1"/>
    <col min="3075" max="3075" width="2.109375" style="174" customWidth="1"/>
    <col min="3076" max="3076" width="10" style="174" bestFit="1" customWidth="1"/>
    <col min="3077" max="3077" width="9.44140625" style="174" bestFit="1" customWidth="1"/>
    <col min="3078" max="3078" width="10" style="174" customWidth="1"/>
    <col min="3079" max="3079" width="11" style="174" customWidth="1"/>
    <col min="3080" max="3080" width="10" style="174" customWidth="1"/>
    <col min="3081" max="3082" width="10.33203125" style="174" customWidth="1"/>
    <col min="3083" max="3084" width="10" style="174" customWidth="1"/>
    <col min="3085" max="3088" width="9" style="174" bestFit="1" customWidth="1"/>
    <col min="3089" max="3089" width="3.44140625" style="174" customWidth="1"/>
    <col min="3090" max="3090" width="6.77734375" style="174" customWidth="1"/>
    <col min="3091" max="3091" width="55.44140625" style="174" customWidth="1"/>
    <col min="3092" max="3329" width="8.77734375" style="174"/>
    <col min="3330" max="3330" width="53.77734375" style="174" bestFit="1" customWidth="1"/>
    <col min="3331" max="3331" width="2.109375" style="174" customWidth="1"/>
    <col min="3332" max="3332" width="10" style="174" bestFit="1" customWidth="1"/>
    <col min="3333" max="3333" width="9.44140625" style="174" bestFit="1" customWidth="1"/>
    <col min="3334" max="3334" width="10" style="174" customWidth="1"/>
    <col min="3335" max="3335" width="11" style="174" customWidth="1"/>
    <col min="3336" max="3336" width="10" style="174" customWidth="1"/>
    <col min="3337" max="3338" width="10.33203125" style="174" customWidth="1"/>
    <col min="3339" max="3340" width="10" style="174" customWidth="1"/>
    <col min="3341" max="3344" width="9" style="174" bestFit="1" customWidth="1"/>
    <col min="3345" max="3345" width="3.44140625" style="174" customWidth="1"/>
    <col min="3346" max="3346" width="6.77734375" style="174" customWidth="1"/>
    <col min="3347" max="3347" width="55.44140625" style="174" customWidth="1"/>
    <col min="3348" max="3585" width="8.77734375" style="174"/>
    <col min="3586" max="3586" width="53.77734375" style="174" bestFit="1" customWidth="1"/>
    <col min="3587" max="3587" width="2.109375" style="174" customWidth="1"/>
    <col min="3588" max="3588" width="10" style="174" bestFit="1" customWidth="1"/>
    <col min="3589" max="3589" width="9.44140625" style="174" bestFit="1" customWidth="1"/>
    <col min="3590" max="3590" width="10" style="174" customWidth="1"/>
    <col min="3591" max="3591" width="11" style="174" customWidth="1"/>
    <col min="3592" max="3592" width="10" style="174" customWidth="1"/>
    <col min="3593" max="3594" width="10.33203125" style="174" customWidth="1"/>
    <col min="3595" max="3596" width="10" style="174" customWidth="1"/>
    <col min="3597" max="3600" width="9" style="174" bestFit="1" customWidth="1"/>
    <col min="3601" max="3601" width="3.44140625" style="174" customWidth="1"/>
    <col min="3602" max="3602" width="6.77734375" style="174" customWidth="1"/>
    <col min="3603" max="3603" width="55.44140625" style="174" customWidth="1"/>
    <col min="3604" max="3841" width="8.77734375" style="174"/>
    <col min="3842" max="3842" width="53.77734375" style="174" bestFit="1" customWidth="1"/>
    <col min="3843" max="3843" width="2.109375" style="174" customWidth="1"/>
    <col min="3844" max="3844" width="10" style="174" bestFit="1" customWidth="1"/>
    <col min="3845" max="3845" width="9.44140625" style="174" bestFit="1" customWidth="1"/>
    <col min="3846" max="3846" width="10" style="174" customWidth="1"/>
    <col min="3847" max="3847" width="11" style="174" customWidth="1"/>
    <col min="3848" max="3848" width="10" style="174" customWidth="1"/>
    <col min="3849" max="3850" width="10.33203125" style="174" customWidth="1"/>
    <col min="3851" max="3852" width="10" style="174" customWidth="1"/>
    <col min="3853" max="3856" width="9" style="174" bestFit="1" customWidth="1"/>
    <col min="3857" max="3857" width="3.44140625" style="174" customWidth="1"/>
    <col min="3858" max="3858" width="6.77734375" style="174" customWidth="1"/>
    <col min="3859" max="3859" width="55.44140625" style="174" customWidth="1"/>
    <col min="3860" max="4097" width="8.77734375" style="174"/>
    <col min="4098" max="4098" width="53.77734375" style="174" bestFit="1" customWidth="1"/>
    <col min="4099" max="4099" width="2.109375" style="174" customWidth="1"/>
    <col min="4100" max="4100" width="10" style="174" bestFit="1" customWidth="1"/>
    <col min="4101" max="4101" width="9.44140625" style="174" bestFit="1" customWidth="1"/>
    <col min="4102" max="4102" width="10" style="174" customWidth="1"/>
    <col min="4103" max="4103" width="11" style="174" customWidth="1"/>
    <col min="4104" max="4104" width="10" style="174" customWidth="1"/>
    <col min="4105" max="4106" width="10.33203125" style="174" customWidth="1"/>
    <col min="4107" max="4108" width="10" style="174" customWidth="1"/>
    <col min="4109" max="4112" width="9" style="174" bestFit="1" customWidth="1"/>
    <col min="4113" max="4113" width="3.44140625" style="174" customWidth="1"/>
    <col min="4114" max="4114" width="6.77734375" style="174" customWidth="1"/>
    <col min="4115" max="4115" width="55.44140625" style="174" customWidth="1"/>
    <col min="4116" max="4353" width="8.77734375" style="174"/>
    <col min="4354" max="4354" width="53.77734375" style="174" bestFit="1" customWidth="1"/>
    <col min="4355" max="4355" width="2.109375" style="174" customWidth="1"/>
    <col min="4356" max="4356" width="10" style="174" bestFit="1" customWidth="1"/>
    <col min="4357" max="4357" width="9.44140625" style="174" bestFit="1" customWidth="1"/>
    <col min="4358" max="4358" width="10" style="174" customWidth="1"/>
    <col min="4359" max="4359" width="11" style="174" customWidth="1"/>
    <col min="4360" max="4360" width="10" style="174" customWidth="1"/>
    <col min="4361" max="4362" width="10.33203125" style="174" customWidth="1"/>
    <col min="4363" max="4364" width="10" style="174" customWidth="1"/>
    <col min="4365" max="4368" width="9" style="174" bestFit="1" customWidth="1"/>
    <col min="4369" max="4369" width="3.44140625" style="174" customWidth="1"/>
    <col min="4370" max="4370" width="6.77734375" style="174" customWidth="1"/>
    <col min="4371" max="4371" width="55.44140625" style="174" customWidth="1"/>
    <col min="4372" max="4609" width="8.77734375" style="174"/>
    <col min="4610" max="4610" width="53.77734375" style="174" bestFit="1" customWidth="1"/>
    <col min="4611" max="4611" width="2.109375" style="174" customWidth="1"/>
    <col min="4612" max="4612" width="10" style="174" bestFit="1" customWidth="1"/>
    <col min="4613" max="4613" width="9.44140625" style="174" bestFit="1" customWidth="1"/>
    <col min="4614" max="4614" width="10" style="174" customWidth="1"/>
    <col min="4615" max="4615" width="11" style="174" customWidth="1"/>
    <col min="4616" max="4616" width="10" style="174" customWidth="1"/>
    <col min="4617" max="4618" width="10.33203125" style="174" customWidth="1"/>
    <col min="4619" max="4620" width="10" style="174" customWidth="1"/>
    <col min="4621" max="4624" width="9" style="174" bestFit="1" customWidth="1"/>
    <col min="4625" max="4625" width="3.44140625" style="174" customWidth="1"/>
    <col min="4626" max="4626" width="6.77734375" style="174" customWidth="1"/>
    <col min="4627" max="4627" width="55.44140625" style="174" customWidth="1"/>
    <col min="4628" max="4865" width="8.77734375" style="174"/>
    <col min="4866" max="4866" width="53.77734375" style="174" bestFit="1" customWidth="1"/>
    <col min="4867" max="4867" width="2.109375" style="174" customWidth="1"/>
    <col min="4868" max="4868" width="10" style="174" bestFit="1" customWidth="1"/>
    <col min="4869" max="4869" width="9.44140625" style="174" bestFit="1" customWidth="1"/>
    <col min="4870" max="4870" width="10" style="174" customWidth="1"/>
    <col min="4871" max="4871" width="11" style="174" customWidth="1"/>
    <col min="4872" max="4872" width="10" style="174" customWidth="1"/>
    <col min="4873" max="4874" width="10.33203125" style="174" customWidth="1"/>
    <col min="4875" max="4876" width="10" style="174" customWidth="1"/>
    <col min="4877" max="4880" width="9" style="174" bestFit="1" customWidth="1"/>
    <col min="4881" max="4881" width="3.44140625" style="174" customWidth="1"/>
    <col min="4882" max="4882" width="6.77734375" style="174" customWidth="1"/>
    <col min="4883" max="4883" width="55.44140625" style="174" customWidth="1"/>
    <col min="4884" max="5121" width="8.77734375" style="174"/>
    <col min="5122" max="5122" width="53.77734375" style="174" bestFit="1" customWidth="1"/>
    <col min="5123" max="5123" width="2.109375" style="174" customWidth="1"/>
    <col min="5124" max="5124" width="10" style="174" bestFit="1" customWidth="1"/>
    <col min="5125" max="5125" width="9.44140625" style="174" bestFit="1" customWidth="1"/>
    <col min="5126" max="5126" width="10" style="174" customWidth="1"/>
    <col min="5127" max="5127" width="11" style="174" customWidth="1"/>
    <col min="5128" max="5128" width="10" style="174" customWidth="1"/>
    <col min="5129" max="5130" width="10.33203125" style="174" customWidth="1"/>
    <col min="5131" max="5132" width="10" style="174" customWidth="1"/>
    <col min="5133" max="5136" width="9" style="174" bestFit="1" customWidth="1"/>
    <col min="5137" max="5137" width="3.44140625" style="174" customWidth="1"/>
    <col min="5138" max="5138" width="6.77734375" style="174" customWidth="1"/>
    <col min="5139" max="5139" width="55.44140625" style="174" customWidth="1"/>
    <col min="5140" max="5377" width="8.77734375" style="174"/>
    <col min="5378" max="5378" width="53.77734375" style="174" bestFit="1" customWidth="1"/>
    <col min="5379" max="5379" width="2.109375" style="174" customWidth="1"/>
    <col min="5380" max="5380" width="10" style="174" bestFit="1" customWidth="1"/>
    <col min="5381" max="5381" width="9.44140625" style="174" bestFit="1" customWidth="1"/>
    <col min="5382" max="5382" width="10" style="174" customWidth="1"/>
    <col min="5383" max="5383" width="11" style="174" customWidth="1"/>
    <col min="5384" max="5384" width="10" style="174" customWidth="1"/>
    <col min="5385" max="5386" width="10.33203125" style="174" customWidth="1"/>
    <col min="5387" max="5388" width="10" style="174" customWidth="1"/>
    <col min="5389" max="5392" width="9" style="174" bestFit="1" customWidth="1"/>
    <col min="5393" max="5393" width="3.44140625" style="174" customWidth="1"/>
    <col min="5394" max="5394" width="6.77734375" style="174" customWidth="1"/>
    <col min="5395" max="5395" width="55.44140625" style="174" customWidth="1"/>
    <col min="5396" max="5633" width="8.77734375" style="174"/>
    <col min="5634" max="5634" width="53.77734375" style="174" bestFit="1" customWidth="1"/>
    <col min="5635" max="5635" width="2.109375" style="174" customWidth="1"/>
    <col min="5636" max="5636" width="10" style="174" bestFit="1" customWidth="1"/>
    <col min="5637" max="5637" width="9.44140625" style="174" bestFit="1" customWidth="1"/>
    <col min="5638" max="5638" width="10" style="174" customWidth="1"/>
    <col min="5639" max="5639" width="11" style="174" customWidth="1"/>
    <col min="5640" max="5640" width="10" style="174" customWidth="1"/>
    <col min="5641" max="5642" width="10.33203125" style="174" customWidth="1"/>
    <col min="5643" max="5644" width="10" style="174" customWidth="1"/>
    <col min="5645" max="5648" width="9" style="174" bestFit="1" customWidth="1"/>
    <col min="5649" max="5649" width="3.44140625" style="174" customWidth="1"/>
    <col min="5650" max="5650" width="6.77734375" style="174" customWidth="1"/>
    <col min="5651" max="5651" width="55.44140625" style="174" customWidth="1"/>
    <col min="5652" max="5889" width="8.77734375" style="174"/>
    <col min="5890" max="5890" width="53.77734375" style="174" bestFit="1" customWidth="1"/>
    <col min="5891" max="5891" width="2.109375" style="174" customWidth="1"/>
    <col min="5892" max="5892" width="10" style="174" bestFit="1" customWidth="1"/>
    <col min="5893" max="5893" width="9.44140625" style="174" bestFit="1" customWidth="1"/>
    <col min="5894" max="5894" width="10" style="174" customWidth="1"/>
    <col min="5895" max="5895" width="11" style="174" customWidth="1"/>
    <col min="5896" max="5896" width="10" style="174" customWidth="1"/>
    <col min="5897" max="5898" width="10.33203125" style="174" customWidth="1"/>
    <col min="5899" max="5900" width="10" style="174" customWidth="1"/>
    <col min="5901" max="5904" width="9" style="174" bestFit="1" customWidth="1"/>
    <col min="5905" max="5905" width="3.44140625" style="174" customWidth="1"/>
    <col min="5906" max="5906" width="6.77734375" style="174" customWidth="1"/>
    <col min="5907" max="5907" width="55.44140625" style="174" customWidth="1"/>
    <col min="5908" max="6145" width="8.77734375" style="174"/>
    <col min="6146" max="6146" width="53.77734375" style="174" bestFit="1" customWidth="1"/>
    <col min="6147" max="6147" width="2.109375" style="174" customWidth="1"/>
    <col min="6148" max="6148" width="10" style="174" bestFit="1" customWidth="1"/>
    <col min="6149" max="6149" width="9.44140625" style="174" bestFit="1" customWidth="1"/>
    <col min="6150" max="6150" width="10" style="174" customWidth="1"/>
    <col min="6151" max="6151" width="11" style="174" customWidth="1"/>
    <col min="6152" max="6152" width="10" style="174" customWidth="1"/>
    <col min="6153" max="6154" width="10.33203125" style="174" customWidth="1"/>
    <col min="6155" max="6156" width="10" style="174" customWidth="1"/>
    <col min="6157" max="6160" width="9" style="174" bestFit="1" customWidth="1"/>
    <col min="6161" max="6161" width="3.44140625" style="174" customWidth="1"/>
    <col min="6162" max="6162" width="6.77734375" style="174" customWidth="1"/>
    <col min="6163" max="6163" width="55.44140625" style="174" customWidth="1"/>
    <col min="6164" max="6401" width="8.77734375" style="174"/>
    <col min="6402" max="6402" width="53.77734375" style="174" bestFit="1" customWidth="1"/>
    <col min="6403" max="6403" width="2.109375" style="174" customWidth="1"/>
    <col min="6404" max="6404" width="10" style="174" bestFit="1" customWidth="1"/>
    <col min="6405" max="6405" width="9.44140625" style="174" bestFit="1" customWidth="1"/>
    <col min="6406" max="6406" width="10" style="174" customWidth="1"/>
    <col min="6407" max="6407" width="11" style="174" customWidth="1"/>
    <col min="6408" max="6408" width="10" style="174" customWidth="1"/>
    <col min="6409" max="6410" width="10.33203125" style="174" customWidth="1"/>
    <col min="6411" max="6412" width="10" style="174" customWidth="1"/>
    <col min="6413" max="6416" width="9" style="174" bestFit="1" customWidth="1"/>
    <col min="6417" max="6417" width="3.44140625" style="174" customWidth="1"/>
    <col min="6418" max="6418" width="6.77734375" style="174" customWidth="1"/>
    <col min="6419" max="6419" width="55.44140625" style="174" customWidth="1"/>
    <col min="6420" max="6657" width="8.77734375" style="174"/>
    <col min="6658" max="6658" width="53.77734375" style="174" bestFit="1" customWidth="1"/>
    <col min="6659" max="6659" width="2.109375" style="174" customWidth="1"/>
    <col min="6660" max="6660" width="10" style="174" bestFit="1" customWidth="1"/>
    <col min="6661" max="6661" width="9.44140625" style="174" bestFit="1" customWidth="1"/>
    <col min="6662" max="6662" width="10" style="174" customWidth="1"/>
    <col min="6663" max="6663" width="11" style="174" customWidth="1"/>
    <col min="6664" max="6664" width="10" style="174" customWidth="1"/>
    <col min="6665" max="6666" width="10.33203125" style="174" customWidth="1"/>
    <col min="6667" max="6668" width="10" style="174" customWidth="1"/>
    <col min="6669" max="6672" width="9" style="174" bestFit="1" customWidth="1"/>
    <col min="6673" max="6673" width="3.44140625" style="174" customWidth="1"/>
    <col min="6674" max="6674" width="6.77734375" style="174" customWidth="1"/>
    <col min="6675" max="6675" width="55.44140625" style="174" customWidth="1"/>
    <col min="6676" max="6913" width="8.77734375" style="174"/>
    <col min="6914" max="6914" width="53.77734375" style="174" bestFit="1" customWidth="1"/>
    <col min="6915" max="6915" width="2.109375" style="174" customWidth="1"/>
    <col min="6916" max="6916" width="10" style="174" bestFit="1" customWidth="1"/>
    <col min="6917" max="6917" width="9.44140625" style="174" bestFit="1" customWidth="1"/>
    <col min="6918" max="6918" width="10" style="174" customWidth="1"/>
    <col min="6919" max="6919" width="11" style="174" customWidth="1"/>
    <col min="6920" max="6920" width="10" style="174" customWidth="1"/>
    <col min="6921" max="6922" width="10.33203125" style="174" customWidth="1"/>
    <col min="6923" max="6924" width="10" style="174" customWidth="1"/>
    <col min="6925" max="6928" width="9" style="174" bestFit="1" customWidth="1"/>
    <col min="6929" max="6929" width="3.44140625" style="174" customWidth="1"/>
    <col min="6930" max="6930" width="6.77734375" style="174" customWidth="1"/>
    <col min="6931" max="6931" width="55.44140625" style="174" customWidth="1"/>
    <col min="6932" max="7169" width="8.77734375" style="174"/>
    <col min="7170" max="7170" width="53.77734375" style="174" bestFit="1" customWidth="1"/>
    <col min="7171" max="7171" width="2.109375" style="174" customWidth="1"/>
    <col min="7172" max="7172" width="10" style="174" bestFit="1" customWidth="1"/>
    <col min="7173" max="7173" width="9.44140625" style="174" bestFit="1" customWidth="1"/>
    <col min="7174" max="7174" width="10" style="174" customWidth="1"/>
    <col min="7175" max="7175" width="11" style="174" customWidth="1"/>
    <col min="7176" max="7176" width="10" style="174" customWidth="1"/>
    <col min="7177" max="7178" width="10.33203125" style="174" customWidth="1"/>
    <col min="7179" max="7180" width="10" style="174" customWidth="1"/>
    <col min="7181" max="7184" width="9" style="174" bestFit="1" customWidth="1"/>
    <col min="7185" max="7185" width="3.44140625" style="174" customWidth="1"/>
    <col min="7186" max="7186" width="6.77734375" style="174" customWidth="1"/>
    <col min="7187" max="7187" width="55.44140625" style="174" customWidth="1"/>
    <col min="7188" max="7425" width="8.77734375" style="174"/>
    <col min="7426" max="7426" width="53.77734375" style="174" bestFit="1" customWidth="1"/>
    <col min="7427" max="7427" width="2.109375" style="174" customWidth="1"/>
    <col min="7428" max="7428" width="10" style="174" bestFit="1" customWidth="1"/>
    <col min="7429" max="7429" width="9.44140625" style="174" bestFit="1" customWidth="1"/>
    <col min="7430" max="7430" width="10" style="174" customWidth="1"/>
    <col min="7431" max="7431" width="11" style="174" customWidth="1"/>
    <col min="7432" max="7432" width="10" style="174" customWidth="1"/>
    <col min="7433" max="7434" width="10.33203125" style="174" customWidth="1"/>
    <col min="7435" max="7436" width="10" style="174" customWidth="1"/>
    <col min="7437" max="7440" width="9" style="174" bestFit="1" customWidth="1"/>
    <col min="7441" max="7441" width="3.44140625" style="174" customWidth="1"/>
    <col min="7442" max="7442" width="6.77734375" style="174" customWidth="1"/>
    <col min="7443" max="7443" width="55.44140625" style="174" customWidth="1"/>
    <col min="7444" max="7681" width="8.77734375" style="174"/>
    <col min="7682" max="7682" width="53.77734375" style="174" bestFit="1" customWidth="1"/>
    <col min="7683" max="7683" width="2.109375" style="174" customWidth="1"/>
    <col min="7684" max="7684" width="10" style="174" bestFit="1" customWidth="1"/>
    <col min="7685" max="7685" width="9.44140625" style="174" bestFit="1" customWidth="1"/>
    <col min="7686" max="7686" width="10" style="174" customWidth="1"/>
    <col min="7687" max="7687" width="11" style="174" customWidth="1"/>
    <col min="7688" max="7688" width="10" style="174" customWidth="1"/>
    <col min="7689" max="7690" width="10.33203125" style="174" customWidth="1"/>
    <col min="7691" max="7692" width="10" style="174" customWidth="1"/>
    <col min="7693" max="7696" width="9" style="174" bestFit="1" customWidth="1"/>
    <col min="7697" max="7697" width="3.44140625" style="174" customWidth="1"/>
    <col min="7698" max="7698" width="6.77734375" style="174" customWidth="1"/>
    <col min="7699" max="7699" width="55.44140625" style="174" customWidth="1"/>
    <col min="7700" max="7937" width="8.77734375" style="174"/>
    <col min="7938" max="7938" width="53.77734375" style="174" bestFit="1" customWidth="1"/>
    <col min="7939" max="7939" width="2.109375" style="174" customWidth="1"/>
    <col min="7940" max="7940" width="10" style="174" bestFit="1" customWidth="1"/>
    <col min="7941" max="7941" width="9.44140625" style="174" bestFit="1" customWidth="1"/>
    <col min="7942" max="7942" width="10" style="174" customWidth="1"/>
    <col min="7943" max="7943" width="11" style="174" customWidth="1"/>
    <col min="7944" max="7944" width="10" style="174" customWidth="1"/>
    <col min="7945" max="7946" width="10.33203125" style="174" customWidth="1"/>
    <col min="7947" max="7948" width="10" style="174" customWidth="1"/>
    <col min="7949" max="7952" width="9" style="174" bestFit="1" customWidth="1"/>
    <col min="7953" max="7953" width="3.44140625" style="174" customWidth="1"/>
    <col min="7954" max="7954" width="6.77734375" style="174" customWidth="1"/>
    <col min="7955" max="7955" width="55.44140625" style="174" customWidth="1"/>
    <col min="7956" max="8193" width="8.77734375" style="174"/>
    <col min="8194" max="8194" width="53.77734375" style="174" bestFit="1" customWidth="1"/>
    <col min="8195" max="8195" width="2.109375" style="174" customWidth="1"/>
    <col min="8196" max="8196" width="10" style="174" bestFit="1" customWidth="1"/>
    <col min="8197" max="8197" width="9.44140625" style="174" bestFit="1" customWidth="1"/>
    <col min="8198" max="8198" width="10" style="174" customWidth="1"/>
    <col min="8199" max="8199" width="11" style="174" customWidth="1"/>
    <col min="8200" max="8200" width="10" style="174" customWidth="1"/>
    <col min="8201" max="8202" width="10.33203125" style="174" customWidth="1"/>
    <col min="8203" max="8204" width="10" style="174" customWidth="1"/>
    <col min="8205" max="8208" width="9" style="174" bestFit="1" customWidth="1"/>
    <col min="8209" max="8209" width="3.44140625" style="174" customWidth="1"/>
    <col min="8210" max="8210" width="6.77734375" style="174" customWidth="1"/>
    <col min="8211" max="8211" width="55.44140625" style="174" customWidth="1"/>
    <col min="8212" max="8449" width="8.77734375" style="174"/>
    <col min="8450" max="8450" width="53.77734375" style="174" bestFit="1" customWidth="1"/>
    <col min="8451" max="8451" width="2.109375" style="174" customWidth="1"/>
    <col min="8452" max="8452" width="10" style="174" bestFit="1" customWidth="1"/>
    <col min="8453" max="8453" width="9.44140625" style="174" bestFit="1" customWidth="1"/>
    <col min="8454" max="8454" width="10" style="174" customWidth="1"/>
    <col min="8455" max="8455" width="11" style="174" customWidth="1"/>
    <col min="8456" max="8456" width="10" style="174" customWidth="1"/>
    <col min="8457" max="8458" width="10.33203125" style="174" customWidth="1"/>
    <col min="8459" max="8460" width="10" style="174" customWidth="1"/>
    <col min="8461" max="8464" width="9" style="174" bestFit="1" customWidth="1"/>
    <col min="8465" max="8465" width="3.44140625" style="174" customWidth="1"/>
    <col min="8466" max="8466" width="6.77734375" style="174" customWidth="1"/>
    <col min="8467" max="8467" width="55.44140625" style="174" customWidth="1"/>
    <col min="8468" max="8705" width="8.77734375" style="174"/>
    <col min="8706" max="8706" width="53.77734375" style="174" bestFit="1" customWidth="1"/>
    <col min="8707" max="8707" width="2.109375" style="174" customWidth="1"/>
    <col min="8708" max="8708" width="10" style="174" bestFit="1" customWidth="1"/>
    <col min="8709" max="8709" width="9.44140625" style="174" bestFit="1" customWidth="1"/>
    <col min="8710" max="8710" width="10" style="174" customWidth="1"/>
    <col min="8711" max="8711" width="11" style="174" customWidth="1"/>
    <col min="8712" max="8712" width="10" style="174" customWidth="1"/>
    <col min="8713" max="8714" width="10.33203125" style="174" customWidth="1"/>
    <col min="8715" max="8716" width="10" style="174" customWidth="1"/>
    <col min="8717" max="8720" width="9" style="174" bestFit="1" customWidth="1"/>
    <col min="8721" max="8721" width="3.44140625" style="174" customWidth="1"/>
    <col min="8722" max="8722" width="6.77734375" style="174" customWidth="1"/>
    <col min="8723" max="8723" width="55.44140625" style="174" customWidth="1"/>
    <col min="8724" max="8961" width="8.77734375" style="174"/>
    <col min="8962" max="8962" width="53.77734375" style="174" bestFit="1" customWidth="1"/>
    <col min="8963" max="8963" width="2.109375" style="174" customWidth="1"/>
    <col min="8964" max="8964" width="10" style="174" bestFit="1" customWidth="1"/>
    <col min="8965" max="8965" width="9.44140625" style="174" bestFit="1" customWidth="1"/>
    <col min="8966" max="8966" width="10" style="174" customWidth="1"/>
    <col min="8967" max="8967" width="11" style="174" customWidth="1"/>
    <col min="8968" max="8968" width="10" style="174" customWidth="1"/>
    <col min="8969" max="8970" width="10.33203125" style="174" customWidth="1"/>
    <col min="8971" max="8972" width="10" style="174" customWidth="1"/>
    <col min="8973" max="8976" width="9" style="174" bestFit="1" customWidth="1"/>
    <col min="8977" max="8977" width="3.44140625" style="174" customWidth="1"/>
    <col min="8978" max="8978" width="6.77734375" style="174" customWidth="1"/>
    <col min="8979" max="8979" width="55.44140625" style="174" customWidth="1"/>
    <col min="8980" max="9217" width="8.77734375" style="174"/>
    <col min="9218" max="9218" width="53.77734375" style="174" bestFit="1" customWidth="1"/>
    <col min="9219" max="9219" width="2.109375" style="174" customWidth="1"/>
    <col min="9220" max="9220" width="10" style="174" bestFit="1" customWidth="1"/>
    <col min="9221" max="9221" width="9.44140625" style="174" bestFit="1" customWidth="1"/>
    <col min="9222" max="9222" width="10" style="174" customWidth="1"/>
    <col min="9223" max="9223" width="11" style="174" customWidth="1"/>
    <col min="9224" max="9224" width="10" style="174" customWidth="1"/>
    <col min="9225" max="9226" width="10.33203125" style="174" customWidth="1"/>
    <col min="9227" max="9228" width="10" style="174" customWidth="1"/>
    <col min="9229" max="9232" width="9" style="174" bestFit="1" customWidth="1"/>
    <col min="9233" max="9233" width="3.44140625" style="174" customWidth="1"/>
    <col min="9234" max="9234" width="6.77734375" style="174" customWidth="1"/>
    <col min="9235" max="9235" width="55.44140625" style="174" customWidth="1"/>
    <col min="9236" max="9473" width="8.77734375" style="174"/>
    <col min="9474" max="9474" width="53.77734375" style="174" bestFit="1" customWidth="1"/>
    <col min="9475" max="9475" width="2.109375" style="174" customWidth="1"/>
    <col min="9476" max="9476" width="10" style="174" bestFit="1" customWidth="1"/>
    <col min="9477" max="9477" width="9.44140625" style="174" bestFit="1" customWidth="1"/>
    <col min="9478" max="9478" width="10" style="174" customWidth="1"/>
    <col min="9479" max="9479" width="11" style="174" customWidth="1"/>
    <col min="9480" max="9480" width="10" style="174" customWidth="1"/>
    <col min="9481" max="9482" width="10.33203125" style="174" customWidth="1"/>
    <col min="9483" max="9484" width="10" style="174" customWidth="1"/>
    <col min="9485" max="9488" width="9" style="174" bestFit="1" customWidth="1"/>
    <col min="9489" max="9489" width="3.44140625" style="174" customWidth="1"/>
    <col min="9490" max="9490" width="6.77734375" style="174" customWidth="1"/>
    <col min="9491" max="9491" width="55.44140625" style="174" customWidth="1"/>
    <col min="9492" max="9729" width="8.77734375" style="174"/>
    <col min="9730" max="9730" width="53.77734375" style="174" bestFit="1" customWidth="1"/>
    <col min="9731" max="9731" width="2.109375" style="174" customWidth="1"/>
    <col min="9732" max="9732" width="10" style="174" bestFit="1" customWidth="1"/>
    <col min="9733" max="9733" width="9.44140625" style="174" bestFit="1" customWidth="1"/>
    <col min="9734" max="9734" width="10" style="174" customWidth="1"/>
    <col min="9735" max="9735" width="11" style="174" customWidth="1"/>
    <col min="9736" max="9736" width="10" style="174" customWidth="1"/>
    <col min="9737" max="9738" width="10.33203125" style="174" customWidth="1"/>
    <col min="9739" max="9740" width="10" style="174" customWidth="1"/>
    <col min="9741" max="9744" width="9" style="174" bestFit="1" customWidth="1"/>
    <col min="9745" max="9745" width="3.44140625" style="174" customWidth="1"/>
    <col min="9746" max="9746" width="6.77734375" style="174" customWidth="1"/>
    <col min="9747" max="9747" width="55.44140625" style="174" customWidth="1"/>
    <col min="9748" max="9985" width="8.77734375" style="174"/>
    <col min="9986" max="9986" width="53.77734375" style="174" bestFit="1" customWidth="1"/>
    <col min="9987" max="9987" width="2.109375" style="174" customWidth="1"/>
    <col min="9988" max="9988" width="10" style="174" bestFit="1" customWidth="1"/>
    <col min="9989" max="9989" width="9.44140625" style="174" bestFit="1" customWidth="1"/>
    <col min="9990" max="9990" width="10" style="174" customWidth="1"/>
    <col min="9991" max="9991" width="11" style="174" customWidth="1"/>
    <col min="9992" max="9992" width="10" style="174" customWidth="1"/>
    <col min="9993" max="9994" width="10.33203125" style="174" customWidth="1"/>
    <col min="9995" max="9996" width="10" style="174" customWidth="1"/>
    <col min="9997" max="10000" width="9" style="174" bestFit="1" customWidth="1"/>
    <col min="10001" max="10001" width="3.44140625" style="174" customWidth="1"/>
    <col min="10002" max="10002" width="6.77734375" style="174" customWidth="1"/>
    <col min="10003" max="10003" width="55.44140625" style="174" customWidth="1"/>
    <col min="10004" max="10241" width="8.77734375" style="174"/>
    <col min="10242" max="10242" width="53.77734375" style="174" bestFit="1" customWidth="1"/>
    <col min="10243" max="10243" width="2.109375" style="174" customWidth="1"/>
    <col min="10244" max="10244" width="10" style="174" bestFit="1" customWidth="1"/>
    <col min="10245" max="10245" width="9.44140625" style="174" bestFit="1" customWidth="1"/>
    <col min="10246" max="10246" width="10" style="174" customWidth="1"/>
    <col min="10247" max="10247" width="11" style="174" customWidth="1"/>
    <col min="10248" max="10248" width="10" style="174" customWidth="1"/>
    <col min="10249" max="10250" width="10.33203125" style="174" customWidth="1"/>
    <col min="10251" max="10252" width="10" style="174" customWidth="1"/>
    <col min="10253" max="10256" width="9" style="174" bestFit="1" customWidth="1"/>
    <col min="10257" max="10257" width="3.44140625" style="174" customWidth="1"/>
    <col min="10258" max="10258" width="6.77734375" style="174" customWidth="1"/>
    <col min="10259" max="10259" width="55.44140625" style="174" customWidth="1"/>
    <col min="10260" max="10497" width="8.77734375" style="174"/>
    <col min="10498" max="10498" width="53.77734375" style="174" bestFit="1" customWidth="1"/>
    <col min="10499" max="10499" width="2.109375" style="174" customWidth="1"/>
    <col min="10500" max="10500" width="10" style="174" bestFit="1" customWidth="1"/>
    <col min="10501" max="10501" width="9.44140625" style="174" bestFit="1" customWidth="1"/>
    <col min="10502" max="10502" width="10" style="174" customWidth="1"/>
    <col min="10503" max="10503" width="11" style="174" customWidth="1"/>
    <col min="10504" max="10504" width="10" style="174" customWidth="1"/>
    <col min="10505" max="10506" width="10.33203125" style="174" customWidth="1"/>
    <col min="10507" max="10508" width="10" style="174" customWidth="1"/>
    <col min="10509" max="10512" width="9" style="174" bestFit="1" customWidth="1"/>
    <col min="10513" max="10513" width="3.44140625" style="174" customWidth="1"/>
    <col min="10514" max="10514" width="6.77734375" style="174" customWidth="1"/>
    <col min="10515" max="10515" width="55.44140625" style="174" customWidth="1"/>
    <col min="10516" max="10753" width="8.77734375" style="174"/>
    <col min="10754" max="10754" width="53.77734375" style="174" bestFit="1" customWidth="1"/>
    <col min="10755" max="10755" width="2.109375" style="174" customWidth="1"/>
    <col min="10756" max="10756" width="10" style="174" bestFit="1" customWidth="1"/>
    <col min="10757" max="10757" width="9.44140625" style="174" bestFit="1" customWidth="1"/>
    <col min="10758" max="10758" width="10" style="174" customWidth="1"/>
    <col min="10759" max="10759" width="11" style="174" customWidth="1"/>
    <col min="10760" max="10760" width="10" style="174" customWidth="1"/>
    <col min="10761" max="10762" width="10.33203125" style="174" customWidth="1"/>
    <col min="10763" max="10764" width="10" style="174" customWidth="1"/>
    <col min="10765" max="10768" width="9" style="174" bestFit="1" customWidth="1"/>
    <col min="10769" max="10769" width="3.44140625" style="174" customWidth="1"/>
    <col min="10770" max="10770" width="6.77734375" style="174" customWidth="1"/>
    <col min="10771" max="10771" width="55.44140625" style="174" customWidth="1"/>
    <col min="10772" max="11009" width="8.77734375" style="174"/>
    <col min="11010" max="11010" width="53.77734375" style="174" bestFit="1" customWidth="1"/>
    <col min="11011" max="11011" width="2.109375" style="174" customWidth="1"/>
    <col min="11012" max="11012" width="10" style="174" bestFit="1" customWidth="1"/>
    <col min="11013" max="11013" width="9.44140625" style="174" bestFit="1" customWidth="1"/>
    <col min="11014" max="11014" width="10" style="174" customWidth="1"/>
    <col min="11015" max="11015" width="11" style="174" customWidth="1"/>
    <col min="11016" max="11016" width="10" style="174" customWidth="1"/>
    <col min="11017" max="11018" width="10.33203125" style="174" customWidth="1"/>
    <col min="11019" max="11020" width="10" style="174" customWidth="1"/>
    <col min="11021" max="11024" width="9" style="174" bestFit="1" customWidth="1"/>
    <col min="11025" max="11025" width="3.44140625" style="174" customWidth="1"/>
    <col min="11026" max="11026" width="6.77734375" style="174" customWidth="1"/>
    <col min="11027" max="11027" width="55.44140625" style="174" customWidth="1"/>
    <col min="11028" max="11265" width="8.77734375" style="174"/>
    <col min="11266" max="11266" width="53.77734375" style="174" bestFit="1" customWidth="1"/>
    <col min="11267" max="11267" width="2.109375" style="174" customWidth="1"/>
    <col min="11268" max="11268" width="10" style="174" bestFit="1" customWidth="1"/>
    <col min="11269" max="11269" width="9.44140625" style="174" bestFit="1" customWidth="1"/>
    <col min="11270" max="11270" width="10" style="174" customWidth="1"/>
    <col min="11271" max="11271" width="11" style="174" customWidth="1"/>
    <col min="11272" max="11272" width="10" style="174" customWidth="1"/>
    <col min="11273" max="11274" width="10.33203125" style="174" customWidth="1"/>
    <col min="11275" max="11276" width="10" style="174" customWidth="1"/>
    <col min="11277" max="11280" width="9" style="174" bestFit="1" customWidth="1"/>
    <col min="11281" max="11281" width="3.44140625" style="174" customWidth="1"/>
    <col min="11282" max="11282" width="6.77734375" style="174" customWidth="1"/>
    <col min="11283" max="11283" width="55.44140625" style="174" customWidth="1"/>
    <col min="11284" max="11521" width="8.77734375" style="174"/>
    <col min="11522" max="11522" width="53.77734375" style="174" bestFit="1" customWidth="1"/>
    <col min="11523" max="11523" width="2.109375" style="174" customWidth="1"/>
    <col min="11524" max="11524" width="10" style="174" bestFit="1" customWidth="1"/>
    <col min="11525" max="11525" width="9.44140625" style="174" bestFit="1" customWidth="1"/>
    <col min="11526" max="11526" width="10" style="174" customWidth="1"/>
    <col min="11527" max="11527" width="11" style="174" customWidth="1"/>
    <col min="11528" max="11528" width="10" style="174" customWidth="1"/>
    <col min="11529" max="11530" width="10.33203125" style="174" customWidth="1"/>
    <col min="11531" max="11532" width="10" style="174" customWidth="1"/>
    <col min="11533" max="11536" width="9" style="174" bestFit="1" customWidth="1"/>
    <col min="11537" max="11537" width="3.44140625" style="174" customWidth="1"/>
    <col min="11538" max="11538" width="6.77734375" style="174" customWidth="1"/>
    <col min="11539" max="11539" width="55.44140625" style="174" customWidth="1"/>
    <col min="11540" max="11777" width="8.77734375" style="174"/>
    <col min="11778" max="11778" width="53.77734375" style="174" bestFit="1" customWidth="1"/>
    <col min="11779" max="11779" width="2.109375" style="174" customWidth="1"/>
    <col min="11780" max="11780" width="10" style="174" bestFit="1" customWidth="1"/>
    <col min="11781" max="11781" width="9.44140625" style="174" bestFit="1" customWidth="1"/>
    <col min="11782" max="11782" width="10" style="174" customWidth="1"/>
    <col min="11783" max="11783" width="11" style="174" customWidth="1"/>
    <col min="11784" max="11784" width="10" style="174" customWidth="1"/>
    <col min="11785" max="11786" width="10.33203125" style="174" customWidth="1"/>
    <col min="11787" max="11788" width="10" style="174" customWidth="1"/>
    <col min="11789" max="11792" width="9" style="174" bestFit="1" customWidth="1"/>
    <col min="11793" max="11793" width="3.44140625" style="174" customWidth="1"/>
    <col min="11794" max="11794" width="6.77734375" style="174" customWidth="1"/>
    <col min="11795" max="11795" width="55.44140625" style="174" customWidth="1"/>
    <col min="11796" max="12033" width="8.77734375" style="174"/>
    <col min="12034" max="12034" width="53.77734375" style="174" bestFit="1" customWidth="1"/>
    <col min="12035" max="12035" width="2.109375" style="174" customWidth="1"/>
    <col min="12036" max="12036" width="10" style="174" bestFit="1" customWidth="1"/>
    <col min="12037" max="12037" width="9.44140625" style="174" bestFit="1" customWidth="1"/>
    <col min="12038" max="12038" width="10" style="174" customWidth="1"/>
    <col min="12039" max="12039" width="11" style="174" customWidth="1"/>
    <col min="12040" max="12040" width="10" style="174" customWidth="1"/>
    <col min="12041" max="12042" width="10.33203125" style="174" customWidth="1"/>
    <col min="12043" max="12044" width="10" style="174" customWidth="1"/>
    <col min="12045" max="12048" width="9" style="174" bestFit="1" customWidth="1"/>
    <col min="12049" max="12049" width="3.44140625" style="174" customWidth="1"/>
    <col min="12050" max="12050" width="6.77734375" style="174" customWidth="1"/>
    <col min="12051" max="12051" width="55.44140625" style="174" customWidth="1"/>
    <col min="12052" max="12289" width="8.77734375" style="174"/>
    <col min="12290" max="12290" width="53.77734375" style="174" bestFit="1" customWidth="1"/>
    <col min="12291" max="12291" width="2.109375" style="174" customWidth="1"/>
    <col min="12292" max="12292" width="10" style="174" bestFit="1" customWidth="1"/>
    <col min="12293" max="12293" width="9.44140625" style="174" bestFit="1" customWidth="1"/>
    <col min="12294" max="12294" width="10" style="174" customWidth="1"/>
    <col min="12295" max="12295" width="11" style="174" customWidth="1"/>
    <col min="12296" max="12296" width="10" style="174" customWidth="1"/>
    <col min="12297" max="12298" width="10.33203125" style="174" customWidth="1"/>
    <col min="12299" max="12300" width="10" style="174" customWidth="1"/>
    <col min="12301" max="12304" width="9" style="174" bestFit="1" customWidth="1"/>
    <col min="12305" max="12305" width="3.44140625" style="174" customWidth="1"/>
    <col min="12306" max="12306" width="6.77734375" style="174" customWidth="1"/>
    <col min="12307" max="12307" width="55.44140625" style="174" customWidth="1"/>
    <col min="12308" max="12545" width="8.77734375" style="174"/>
    <col min="12546" max="12546" width="53.77734375" style="174" bestFit="1" customWidth="1"/>
    <col min="12547" max="12547" width="2.109375" style="174" customWidth="1"/>
    <col min="12548" max="12548" width="10" style="174" bestFit="1" customWidth="1"/>
    <col min="12549" max="12549" width="9.44140625" style="174" bestFit="1" customWidth="1"/>
    <col min="12550" max="12550" width="10" style="174" customWidth="1"/>
    <col min="12551" max="12551" width="11" style="174" customWidth="1"/>
    <col min="12552" max="12552" width="10" style="174" customWidth="1"/>
    <col min="12553" max="12554" width="10.33203125" style="174" customWidth="1"/>
    <col min="12555" max="12556" width="10" style="174" customWidth="1"/>
    <col min="12557" max="12560" width="9" style="174" bestFit="1" customWidth="1"/>
    <col min="12561" max="12561" width="3.44140625" style="174" customWidth="1"/>
    <col min="12562" max="12562" width="6.77734375" style="174" customWidth="1"/>
    <col min="12563" max="12563" width="55.44140625" style="174" customWidth="1"/>
    <col min="12564" max="12801" width="8.77734375" style="174"/>
    <col min="12802" max="12802" width="53.77734375" style="174" bestFit="1" customWidth="1"/>
    <col min="12803" max="12803" width="2.109375" style="174" customWidth="1"/>
    <col min="12804" max="12804" width="10" style="174" bestFit="1" customWidth="1"/>
    <col min="12805" max="12805" width="9.44140625" style="174" bestFit="1" customWidth="1"/>
    <col min="12806" max="12806" width="10" style="174" customWidth="1"/>
    <col min="12807" max="12807" width="11" style="174" customWidth="1"/>
    <col min="12808" max="12808" width="10" style="174" customWidth="1"/>
    <col min="12809" max="12810" width="10.33203125" style="174" customWidth="1"/>
    <col min="12811" max="12812" width="10" style="174" customWidth="1"/>
    <col min="12813" max="12816" width="9" style="174" bestFit="1" customWidth="1"/>
    <col min="12817" max="12817" width="3.44140625" style="174" customWidth="1"/>
    <col min="12818" max="12818" width="6.77734375" style="174" customWidth="1"/>
    <col min="12819" max="12819" width="55.44140625" style="174" customWidth="1"/>
    <col min="12820" max="13057" width="8.77734375" style="174"/>
    <col min="13058" max="13058" width="53.77734375" style="174" bestFit="1" customWidth="1"/>
    <col min="13059" max="13059" width="2.109375" style="174" customWidth="1"/>
    <col min="13060" max="13060" width="10" style="174" bestFit="1" customWidth="1"/>
    <col min="13061" max="13061" width="9.44140625" style="174" bestFit="1" customWidth="1"/>
    <col min="13062" max="13062" width="10" style="174" customWidth="1"/>
    <col min="13063" max="13063" width="11" style="174" customWidth="1"/>
    <col min="13064" max="13064" width="10" style="174" customWidth="1"/>
    <col min="13065" max="13066" width="10.33203125" style="174" customWidth="1"/>
    <col min="13067" max="13068" width="10" style="174" customWidth="1"/>
    <col min="13069" max="13072" width="9" style="174" bestFit="1" customWidth="1"/>
    <col min="13073" max="13073" width="3.44140625" style="174" customWidth="1"/>
    <col min="13074" max="13074" width="6.77734375" style="174" customWidth="1"/>
    <col min="13075" max="13075" width="55.44140625" style="174" customWidth="1"/>
    <col min="13076" max="13313" width="8.77734375" style="174"/>
    <col min="13314" max="13314" width="53.77734375" style="174" bestFit="1" customWidth="1"/>
    <col min="13315" max="13315" width="2.109375" style="174" customWidth="1"/>
    <col min="13316" max="13316" width="10" style="174" bestFit="1" customWidth="1"/>
    <col min="13317" max="13317" width="9.44140625" style="174" bestFit="1" customWidth="1"/>
    <col min="13318" max="13318" width="10" style="174" customWidth="1"/>
    <col min="13319" max="13319" width="11" style="174" customWidth="1"/>
    <col min="13320" max="13320" width="10" style="174" customWidth="1"/>
    <col min="13321" max="13322" width="10.33203125" style="174" customWidth="1"/>
    <col min="13323" max="13324" width="10" style="174" customWidth="1"/>
    <col min="13325" max="13328" width="9" style="174" bestFit="1" customWidth="1"/>
    <col min="13329" max="13329" width="3.44140625" style="174" customWidth="1"/>
    <col min="13330" max="13330" width="6.77734375" style="174" customWidth="1"/>
    <col min="13331" max="13331" width="55.44140625" style="174" customWidth="1"/>
    <col min="13332" max="13569" width="8.77734375" style="174"/>
    <col min="13570" max="13570" width="53.77734375" style="174" bestFit="1" customWidth="1"/>
    <col min="13571" max="13571" width="2.109375" style="174" customWidth="1"/>
    <col min="13572" max="13572" width="10" style="174" bestFit="1" customWidth="1"/>
    <col min="13573" max="13573" width="9.44140625" style="174" bestFit="1" customWidth="1"/>
    <col min="13574" max="13574" width="10" style="174" customWidth="1"/>
    <col min="13575" max="13575" width="11" style="174" customWidth="1"/>
    <col min="13576" max="13576" width="10" style="174" customWidth="1"/>
    <col min="13577" max="13578" width="10.33203125" style="174" customWidth="1"/>
    <col min="13579" max="13580" width="10" style="174" customWidth="1"/>
    <col min="13581" max="13584" width="9" style="174" bestFit="1" customWidth="1"/>
    <col min="13585" max="13585" width="3.44140625" style="174" customWidth="1"/>
    <col min="13586" max="13586" width="6.77734375" style="174" customWidth="1"/>
    <col min="13587" max="13587" width="55.44140625" style="174" customWidth="1"/>
    <col min="13588" max="13825" width="8.77734375" style="174"/>
    <col min="13826" max="13826" width="53.77734375" style="174" bestFit="1" customWidth="1"/>
    <col min="13827" max="13827" width="2.109375" style="174" customWidth="1"/>
    <col min="13828" max="13828" width="10" style="174" bestFit="1" customWidth="1"/>
    <col min="13829" max="13829" width="9.44140625" style="174" bestFit="1" customWidth="1"/>
    <col min="13830" max="13830" width="10" style="174" customWidth="1"/>
    <col min="13831" max="13831" width="11" style="174" customWidth="1"/>
    <col min="13832" max="13832" width="10" style="174" customWidth="1"/>
    <col min="13833" max="13834" width="10.33203125" style="174" customWidth="1"/>
    <col min="13835" max="13836" width="10" style="174" customWidth="1"/>
    <col min="13837" max="13840" width="9" style="174" bestFit="1" customWidth="1"/>
    <col min="13841" max="13841" width="3.44140625" style="174" customWidth="1"/>
    <col min="13842" max="13842" width="6.77734375" style="174" customWidth="1"/>
    <col min="13843" max="13843" width="55.44140625" style="174" customWidth="1"/>
    <col min="13844" max="14081" width="8.77734375" style="174"/>
    <col min="14082" max="14082" width="53.77734375" style="174" bestFit="1" customWidth="1"/>
    <col min="14083" max="14083" width="2.109375" style="174" customWidth="1"/>
    <col min="14084" max="14084" width="10" style="174" bestFit="1" customWidth="1"/>
    <col min="14085" max="14085" width="9.44140625" style="174" bestFit="1" customWidth="1"/>
    <col min="14086" max="14086" width="10" style="174" customWidth="1"/>
    <col min="14087" max="14087" width="11" style="174" customWidth="1"/>
    <col min="14088" max="14088" width="10" style="174" customWidth="1"/>
    <col min="14089" max="14090" width="10.33203125" style="174" customWidth="1"/>
    <col min="14091" max="14092" width="10" style="174" customWidth="1"/>
    <col min="14093" max="14096" width="9" style="174" bestFit="1" customWidth="1"/>
    <col min="14097" max="14097" width="3.44140625" style="174" customWidth="1"/>
    <col min="14098" max="14098" width="6.77734375" style="174" customWidth="1"/>
    <col min="14099" max="14099" width="55.44140625" style="174" customWidth="1"/>
    <col min="14100" max="14337" width="8.77734375" style="174"/>
    <col min="14338" max="14338" width="53.77734375" style="174" bestFit="1" customWidth="1"/>
    <col min="14339" max="14339" width="2.109375" style="174" customWidth="1"/>
    <col min="14340" max="14340" width="10" style="174" bestFit="1" customWidth="1"/>
    <col min="14341" max="14341" width="9.44140625" style="174" bestFit="1" customWidth="1"/>
    <col min="14342" max="14342" width="10" style="174" customWidth="1"/>
    <col min="14343" max="14343" width="11" style="174" customWidth="1"/>
    <col min="14344" max="14344" width="10" style="174" customWidth="1"/>
    <col min="14345" max="14346" width="10.33203125" style="174" customWidth="1"/>
    <col min="14347" max="14348" width="10" style="174" customWidth="1"/>
    <col min="14349" max="14352" width="9" style="174" bestFit="1" customWidth="1"/>
    <col min="14353" max="14353" width="3.44140625" style="174" customWidth="1"/>
    <col min="14354" max="14354" width="6.77734375" style="174" customWidth="1"/>
    <col min="14355" max="14355" width="55.44140625" style="174" customWidth="1"/>
    <col min="14356" max="14593" width="8.77734375" style="174"/>
    <col min="14594" max="14594" width="53.77734375" style="174" bestFit="1" customWidth="1"/>
    <col min="14595" max="14595" width="2.109375" style="174" customWidth="1"/>
    <col min="14596" max="14596" width="10" style="174" bestFit="1" customWidth="1"/>
    <col min="14597" max="14597" width="9.44140625" style="174" bestFit="1" customWidth="1"/>
    <col min="14598" max="14598" width="10" style="174" customWidth="1"/>
    <col min="14599" max="14599" width="11" style="174" customWidth="1"/>
    <col min="14600" max="14600" width="10" style="174" customWidth="1"/>
    <col min="14601" max="14602" width="10.33203125" style="174" customWidth="1"/>
    <col min="14603" max="14604" width="10" style="174" customWidth="1"/>
    <col min="14605" max="14608" width="9" style="174" bestFit="1" customWidth="1"/>
    <col min="14609" max="14609" width="3.44140625" style="174" customWidth="1"/>
    <col min="14610" max="14610" width="6.77734375" style="174" customWidth="1"/>
    <col min="14611" max="14611" width="55.44140625" style="174" customWidth="1"/>
    <col min="14612" max="14849" width="8.77734375" style="174"/>
    <col min="14850" max="14850" width="53.77734375" style="174" bestFit="1" customWidth="1"/>
    <col min="14851" max="14851" width="2.109375" style="174" customWidth="1"/>
    <col min="14852" max="14852" width="10" style="174" bestFit="1" customWidth="1"/>
    <col min="14853" max="14853" width="9.44140625" style="174" bestFit="1" customWidth="1"/>
    <col min="14854" max="14854" width="10" style="174" customWidth="1"/>
    <col min="14855" max="14855" width="11" style="174" customWidth="1"/>
    <col min="14856" max="14856" width="10" style="174" customWidth="1"/>
    <col min="14857" max="14858" width="10.33203125" style="174" customWidth="1"/>
    <col min="14859" max="14860" width="10" style="174" customWidth="1"/>
    <col min="14861" max="14864" width="9" style="174" bestFit="1" customWidth="1"/>
    <col min="14865" max="14865" width="3.44140625" style="174" customWidth="1"/>
    <col min="14866" max="14866" width="6.77734375" style="174" customWidth="1"/>
    <col min="14867" max="14867" width="55.44140625" style="174" customWidth="1"/>
    <col min="14868" max="15105" width="8.77734375" style="174"/>
    <col min="15106" max="15106" width="53.77734375" style="174" bestFit="1" customWidth="1"/>
    <col min="15107" max="15107" width="2.109375" style="174" customWidth="1"/>
    <col min="15108" max="15108" width="10" style="174" bestFit="1" customWidth="1"/>
    <col min="15109" max="15109" width="9.44140625" style="174" bestFit="1" customWidth="1"/>
    <col min="15110" max="15110" width="10" style="174" customWidth="1"/>
    <col min="15111" max="15111" width="11" style="174" customWidth="1"/>
    <col min="15112" max="15112" width="10" style="174" customWidth="1"/>
    <col min="15113" max="15114" width="10.33203125" style="174" customWidth="1"/>
    <col min="15115" max="15116" width="10" style="174" customWidth="1"/>
    <col min="15117" max="15120" width="9" style="174" bestFit="1" customWidth="1"/>
    <col min="15121" max="15121" width="3.44140625" style="174" customWidth="1"/>
    <col min="15122" max="15122" width="6.77734375" style="174" customWidth="1"/>
    <col min="15123" max="15123" width="55.44140625" style="174" customWidth="1"/>
    <col min="15124" max="15361" width="8.77734375" style="174"/>
    <col min="15362" max="15362" width="53.77734375" style="174" bestFit="1" customWidth="1"/>
    <col min="15363" max="15363" width="2.109375" style="174" customWidth="1"/>
    <col min="15364" max="15364" width="10" style="174" bestFit="1" customWidth="1"/>
    <col min="15365" max="15365" width="9.44140625" style="174" bestFit="1" customWidth="1"/>
    <col min="15366" max="15366" width="10" style="174" customWidth="1"/>
    <col min="15367" max="15367" width="11" style="174" customWidth="1"/>
    <col min="15368" max="15368" width="10" style="174" customWidth="1"/>
    <col min="15369" max="15370" width="10.33203125" style="174" customWidth="1"/>
    <col min="15371" max="15372" width="10" style="174" customWidth="1"/>
    <col min="15373" max="15376" width="9" style="174" bestFit="1" customWidth="1"/>
    <col min="15377" max="15377" width="3.44140625" style="174" customWidth="1"/>
    <col min="15378" max="15378" width="6.77734375" style="174" customWidth="1"/>
    <col min="15379" max="15379" width="55.44140625" style="174" customWidth="1"/>
    <col min="15380" max="15617" width="8.77734375" style="174"/>
    <col min="15618" max="15618" width="53.77734375" style="174" bestFit="1" customWidth="1"/>
    <col min="15619" max="15619" width="2.109375" style="174" customWidth="1"/>
    <col min="15620" max="15620" width="10" style="174" bestFit="1" customWidth="1"/>
    <col min="15621" max="15621" width="9.44140625" style="174" bestFit="1" customWidth="1"/>
    <col min="15622" max="15622" width="10" style="174" customWidth="1"/>
    <col min="15623" max="15623" width="11" style="174" customWidth="1"/>
    <col min="15624" max="15624" width="10" style="174" customWidth="1"/>
    <col min="15625" max="15626" width="10.33203125" style="174" customWidth="1"/>
    <col min="15627" max="15628" width="10" style="174" customWidth="1"/>
    <col min="15629" max="15632" width="9" style="174" bestFit="1" customWidth="1"/>
    <col min="15633" max="15633" width="3.44140625" style="174" customWidth="1"/>
    <col min="15634" max="15634" width="6.77734375" style="174" customWidth="1"/>
    <col min="15635" max="15635" width="55.44140625" style="174" customWidth="1"/>
    <col min="15636" max="15873" width="8.77734375" style="174"/>
    <col min="15874" max="15874" width="53.77734375" style="174" bestFit="1" customWidth="1"/>
    <col min="15875" max="15875" width="2.109375" style="174" customWidth="1"/>
    <col min="15876" max="15876" width="10" style="174" bestFit="1" customWidth="1"/>
    <col min="15877" max="15877" width="9.44140625" style="174" bestFit="1" customWidth="1"/>
    <col min="15878" max="15878" width="10" style="174" customWidth="1"/>
    <col min="15879" max="15879" width="11" style="174" customWidth="1"/>
    <col min="15880" max="15880" width="10" style="174" customWidth="1"/>
    <col min="15881" max="15882" width="10.33203125" style="174" customWidth="1"/>
    <col min="15883" max="15884" width="10" style="174" customWidth="1"/>
    <col min="15885" max="15888" width="9" style="174" bestFit="1" customWidth="1"/>
    <col min="15889" max="15889" width="3.44140625" style="174" customWidth="1"/>
    <col min="15890" max="15890" width="6.77734375" style="174" customWidth="1"/>
    <col min="15891" max="15891" width="55.44140625" style="174" customWidth="1"/>
    <col min="15892" max="16129" width="8.77734375" style="174"/>
    <col min="16130" max="16130" width="53.77734375" style="174" bestFit="1" customWidth="1"/>
    <col min="16131" max="16131" width="2.109375" style="174" customWidth="1"/>
    <col min="16132" max="16132" width="10" style="174" bestFit="1" customWidth="1"/>
    <col min="16133" max="16133" width="9.44140625" style="174" bestFit="1" customWidth="1"/>
    <col min="16134" max="16134" width="10" style="174" customWidth="1"/>
    <col min="16135" max="16135" width="11" style="174" customWidth="1"/>
    <col min="16136" max="16136" width="10" style="174" customWidth="1"/>
    <col min="16137" max="16138" width="10.33203125" style="174" customWidth="1"/>
    <col min="16139" max="16140" width="10" style="174" customWidth="1"/>
    <col min="16141" max="16144" width="9" style="174" bestFit="1" customWidth="1"/>
    <col min="16145" max="16145" width="3.44140625" style="174" customWidth="1"/>
    <col min="16146" max="16146" width="6.77734375" style="174" customWidth="1"/>
    <col min="16147" max="16147" width="55.44140625" style="174" customWidth="1"/>
    <col min="16148" max="16384" width="8.77734375" style="174"/>
  </cols>
  <sheetData>
    <row r="1" spans="1:19" ht="16.95" customHeight="1" thickBot="1" x14ac:dyDescent="0.3">
      <c r="A1" s="218"/>
      <c r="B1" s="251" t="s">
        <v>582</v>
      </c>
      <c r="C1" s="218"/>
      <c r="D1" s="218"/>
      <c r="E1" s="218"/>
      <c r="F1" s="218"/>
      <c r="G1" s="218"/>
      <c r="H1" s="218"/>
      <c r="I1" s="219"/>
      <c r="J1" s="207" t="s">
        <v>394</v>
      </c>
      <c r="K1" s="207" t="s">
        <v>393</v>
      </c>
      <c r="L1" s="207" t="s">
        <v>395</v>
      </c>
      <c r="M1" s="218"/>
      <c r="N1" s="218"/>
      <c r="O1" s="218"/>
      <c r="P1" s="218"/>
      <c r="Q1" s="218"/>
      <c r="R1" s="218"/>
      <c r="S1" s="294"/>
    </row>
    <row r="2" spans="1:19" ht="16.95" customHeight="1" thickBot="1" x14ac:dyDescent="0.3">
      <c r="A2" s="13" t="s">
        <v>0</v>
      </c>
      <c r="B2" s="252" t="s">
        <v>348</v>
      </c>
      <c r="C2" s="218"/>
      <c r="D2" s="218"/>
      <c r="E2" s="220"/>
      <c r="F2" s="221"/>
      <c r="G2" s="220"/>
      <c r="H2" s="220"/>
      <c r="I2" s="6" t="s">
        <v>341</v>
      </c>
      <c r="J2" s="320">
        <v>6500</v>
      </c>
      <c r="K2" s="321">
        <v>1</v>
      </c>
      <c r="L2" s="318">
        <v>300</v>
      </c>
      <c r="M2" s="220"/>
      <c r="N2" s="220"/>
      <c r="O2" s="220"/>
      <c r="P2" s="223" t="s">
        <v>222</v>
      </c>
      <c r="Q2" s="218"/>
      <c r="R2" s="218"/>
      <c r="S2" s="178" t="s">
        <v>254</v>
      </c>
    </row>
    <row r="3" spans="1:19" ht="16.95" customHeight="1" x14ac:dyDescent="0.25">
      <c r="A3" s="224"/>
      <c r="B3" s="372" t="s">
        <v>222</v>
      </c>
      <c r="C3" s="224"/>
      <c r="D3" s="224"/>
      <c r="E3" s="225"/>
      <c r="F3" s="225"/>
      <c r="G3" s="225"/>
      <c r="H3" s="224"/>
      <c r="I3" s="6" t="s">
        <v>343</v>
      </c>
      <c r="J3" s="320">
        <v>419</v>
      </c>
      <c r="K3" s="321">
        <v>0.5</v>
      </c>
      <c r="L3" s="319"/>
      <c r="M3" s="224"/>
      <c r="N3" s="224"/>
      <c r="O3" s="224"/>
      <c r="P3" s="224"/>
      <c r="Q3" s="218"/>
      <c r="R3" s="218"/>
      <c r="S3" s="182" t="s">
        <v>253</v>
      </c>
    </row>
    <row r="4" spans="1:19" ht="16.95" customHeight="1" x14ac:dyDescent="0.25">
      <c r="A4" s="488" t="s">
        <v>223</v>
      </c>
      <c r="B4" s="488"/>
      <c r="C4" s="488"/>
      <c r="D4" s="488"/>
      <c r="E4" s="488"/>
      <c r="F4" s="488"/>
      <c r="G4" s="488"/>
      <c r="H4" s="488"/>
      <c r="I4" s="488"/>
      <c r="J4" s="488"/>
      <c r="K4" s="488"/>
      <c r="L4" s="488"/>
      <c r="M4" s="488"/>
      <c r="N4" s="488"/>
      <c r="O4" s="488"/>
      <c r="P4" s="488"/>
      <c r="Q4" s="218"/>
      <c r="R4" s="218"/>
      <c r="S4" s="183" t="s">
        <v>255</v>
      </c>
    </row>
    <row r="5" spans="1:19" ht="16.95" customHeight="1" x14ac:dyDescent="0.25">
      <c r="A5" s="295"/>
      <c r="B5" s="296"/>
      <c r="C5" s="295"/>
      <c r="D5" s="295"/>
      <c r="E5" s="250">
        <v>0.6</v>
      </c>
      <c r="F5" s="250"/>
      <c r="G5" s="250"/>
      <c r="H5" s="250"/>
      <c r="I5" s="250">
        <v>0.3</v>
      </c>
      <c r="J5" s="250"/>
      <c r="K5" s="250"/>
      <c r="L5" s="250"/>
      <c r="M5" s="250"/>
      <c r="N5" s="250"/>
      <c r="O5" s="250"/>
      <c r="P5" s="250">
        <v>0.1</v>
      </c>
      <c r="Q5" s="218"/>
      <c r="R5" s="218"/>
      <c r="S5" s="294"/>
    </row>
    <row r="6" spans="1:19" ht="16.95" customHeight="1" thickBot="1" x14ac:dyDescent="0.3">
      <c r="A6" s="228"/>
      <c r="B6" s="228"/>
      <c r="C6" s="228"/>
      <c r="D6" s="186" t="s">
        <v>224</v>
      </c>
      <c r="E6" s="186"/>
      <c r="F6" s="186"/>
      <c r="G6" s="186"/>
      <c r="H6" s="186"/>
      <c r="I6" s="186"/>
      <c r="J6" s="186"/>
      <c r="K6" s="186"/>
      <c r="L6" s="186"/>
      <c r="M6" s="186"/>
      <c r="N6" s="186"/>
      <c r="O6" s="186"/>
      <c r="P6" s="187"/>
      <c r="Q6" s="218"/>
      <c r="R6" s="230" t="s">
        <v>3</v>
      </c>
      <c r="S6" s="158" t="s">
        <v>4</v>
      </c>
    </row>
    <row r="7" spans="1:19" ht="16.95" customHeight="1" thickBot="1" x14ac:dyDescent="0.3">
      <c r="A7" s="189" t="s">
        <v>3</v>
      </c>
      <c r="B7" s="229" t="s">
        <v>225</v>
      </c>
      <c r="C7" s="218"/>
      <c r="D7" s="191" t="s">
        <v>226</v>
      </c>
      <c r="E7" s="191" t="s">
        <v>227</v>
      </c>
      <c r="F7" s="191" t="s">
        <v>228</v>
      </c>
      <c r="G7" s="191" t="s">
        <v>229</v>
      </c>
      <c r="H7" s="191" t="s">
        <v>230</v>
      </c>
      <c r="I7" s="191" t="s">
        <v>231</v>
      </c>
      <c r="J7" s="191" t="s">
        <v>232</v>
      </c>
      <c r="K7" s="191" t="s">
        <v>233</v>
      </c>
      <c r="L7" s="191" t="s">
        <v>234</v>
      </c>
      <c r="M7" s="191" t="s">
        <v>235</v>
      </c>
      <c r="N7" s="191" t="s">
        <v>236</v>
      </c>
      <c r="O7" s="191" t="s">
        <v>237</v>
      </c>
      <c r="P7" s="191" t="s">
        <v>238</v>
      </c>
      <c r="Q7" s="218"/>
      <c r="R7" s="218"/>
      <c r="S7" s="294"/>
    </row>
    <row r="9" spans="1:19" ht="16.95" customHeight="1" x14ac:dyDescent="0.25">
      <c r="B9" s="192" t="s">
        <v>239</v>
      </c>
      <c r="C9" s="218"/>
      <c r="D9" s="297"/>
      <c r="E9" s="297"/>
      <c r="F9" s="297"/>
      <c r="G9" s="297"/>
      <c r="H9" s="297"/>
      <c r="I9" s="297"/>
      <c r="J9" s="297"/>
      <c r="K9" s="297"/>
      <c r="L9" s="297"/>
      <c r="M9" s="297"/>
      <c r="N9" s="297"/>
      <c r="O9" s="297"/>
      <c r="P9" s="297"/>
    </row>
    <row r="10" spans="1:19" ht="16.95" customHeight="1" x14ac:dyDescent="0.25">
      <c r="B10" s="198" t="s">
        <v>381</v>
      </c>
      <c r="C10" s="218"/>
      <c r="D10" s="297"/>
      <c r="E10" s="297"/>
      <c r="F10" s="297"/>
      <c r="G10" s="297"/>
      <c r="H10" s="297"/>
      <c r="I10" s="297"/>
      <c r="J10" s="297"/>
      <c r="K10" s="297"/>
      <c r="L10" s="297"/>
      <c r="M10" s="297"/>
      <c r="N10" s="297"/>
      <c r="O10" s="297"/>
      <c r="P10" s="297"/>
    </row>
    <row r="11" spans="1:19" ht="16.95" customHeight="1" x14ac:dyDescent="0.25">
      <c r="A11" s="173">
        <f t="shared" ref="A11:A42" si="0">R11</f>
        <v>1</v>
      </c>
      <c r="B11" s="195" t="s">
        <v>382</v>
      </c>
      <c r="D11" s="165">
        <f t="shared" ref="D11:D24" si="1">SUM(E11:P11)</f>
        <v>1950000</v>
      </c>
      <c r="E11" s="163">
        <f>L2*K2*J2*E5</f>
        <v>1170000</v>
      </c>
      <c r="F11" s="163">
        <v>0</v>
      </c>
      <c r="G11" s="163">
        <v>0</v>
      </c>
      <c r="H11" s="163">
        <v>0</v>
      </c>
      <c r="I11" s="163">
        <f>L2*K2*J2*I5</f>
        <v>585000</v>
      </c>
      <c r="J11" s="163">
        <v>0</v>
      </c>
      <c r="K11" s="163">
        <v>0</v>
      </c>
      <c r="L11" s="163">
        <v>0</v>
      </c>
      <c r="M11" s="163">
        <v>0</v>
      </c>
      <c r="N11" s="163">
        <v>0</v>
      </c>
      <c r="O11" s="163">
        <v>0</v>
      </c>
      <c r="P11" s="163">
        <f>L2*K2*J2*P5</f>
        <v>195000</v>
      </c>
      <c r="R11" s="173">
        <v>1</v>
      </c>
      <c r="S11" s="253" t="s">
        <v>736</v>
      </c>
    </row>
    <row r="12" spans="1:19" ht="16.95" customHeight="1" x14ac:dyDescent="0.25">
      <c r="A12" s="173">
        <f t="shared" si="0"/>
        <v>2</v>
      </c>
      <c r="B12" s="195" t="s">
        <v>383</v>
      </c>
      <c r="D12" s="165">
        <f t="shared" si="1"/>
        <v>123358.42000000001</v>
      </c>
      <c r="E12" s="163">
        <v>0</v>
      </c>
      <c r="F12" s="163">
        <v>0</v>
      </c>
      <c r="G12" s="163">
        <v>0</v>
      </c>
      <c r="H12" s="163">
        <v>0</v>
      </c>
      <c r="I12" s="163">
        <v>0</v>
      </c>
      <c r="J12" s="163">
        <v>0</v>
      </c>
      <c r="K12" s="163">
        <v>0</v>
      </c>
      <c r="L12" s="163">
        <v>0</v>
      </c>
      <c r="M12" s="163">
        <v>0</v>
      </c>
      <c r="N12" s="163">
        <v>0</v>
      </c>
      <c r="O12" s="163">
        <v>0</v>
      </c>
      <c r="P12" s="163">
        <f>(J3*K3*L2)+((0.25*(1.99+3.69))+(0.25*(1.69+3.29))*L2*180*0.9)</f>
        <v>123358.42000000001</v>
      </c>
      <c r="R12" s="173">
        <v>2</v>
      </c>
      <c r="S12" s="253" t="s">
        <v>585</v>
      </c>
    </row>
    <row r="13" spans="1:19" ht="16.95" customHeight="1" x14ac:dyDescent="0.25">
      <c r="A13" s="201">
        <f t="shared" si="0"/>
        <v>3</v>
      </c>
      <c r="B13" s="197" t="s">
        <v>380</v>
      </c>
      <c r="D13" s="164"/>
      <c r="E13" s="164"/>
      <c r="F13" s="164"/>
      <c r="G13" s="164"/>
      <c r="H13" s="164"/>
      <c r="I13" s="164"/>
      <c r="J13" s="164"/>
      <c r="K13" s="164"/>
      <c r="L13" s="164"/>
      <c r="M13" s="164"/>
      <c r="N13" s="164"/>
      <c r="O13" s="164"/>
      <c r="P13" s="164"/>
      <c r="R13" s="173">
        <v>3</v>
      </c>
    </row>
    <row r="14" spans="1:19" ht="16.95" customHeight="1" x14ac:dyDescent="0.25">
      <c r="A14" s="173">
        <f t="shared" si="0"/>
        <v>4</v>
      </c>
      <c r="B14" s="195" t="s">
        <v>384</v>
      </c>
      <c r="D14" s="165">
        <f t="shared" si="1"/>
        <v>100000</v>
      </c>
      <c r="E14" s="163">
        <v>0</v>
      </c>
      <c r="F14" s="163">
        <v>0</v>
      </c>
      <c r="G14" s="163">
        <v>0</v>
      </c>
      <c r="H14" s="163">
        <v>0</v>
      </c>
      <c r="I14" s="163">
        <v>0</v>
      </c>
      <c r="J14" s="163">
        <v>50000</v>
      </c>
      <c r="K14" s="163">
        <v>50000</v>
      </c>
      <c r="L14" s="163">
        <v>0</v>
      </c>
      <c r="M14" s="163">
        <v>0</v>
      </c>
      <c r="N14" s="163">
        <v>0</v>
      </c>
      <c r="O14" s="163">
        <v>0</v>
      </c>
      <c r="P14" s="163">
        <v>0</v>
      </c>
      <c r="R14" s="173">
        <v>4</v>
      </c>
      <c r="S14" s="196" t="s">
        <v>655</v>
      </c>
    </row>
    <row r="15" spans="1:19" ht="16.95" customHeight="1" x14ac:dyDescent="0.25">
      <c r="A15" s="173">
        <f t="shared" si="0"/>
        <v>5</v>
      </c>
      <c r="B15" s="195" t="s">
        <v>385</v>
      </c>
      <c r="D15" s="165">
        <f t="shared" si="1"/>
        <v>0</v>
      </c>
      <c r="E15" s="163">
        <v>0</v>
      </c>
      <c r="F15" s="163">
        <v>0</v>
      </c>
      <c r="G15" s="163">
        <v>0</v>
      </c>
      <c r="H15" s="163">
        <v>0</v>
      </c>
      <c r="I15" s="163">
        <v>0</v>
      </c>
      <c r="J15" s="163">
        <v>0</v>
      </c>
      <c r="K15" s="163">
        <v>0</v>
      </c>
      <c r="L15" s="163">
        <v>0</v>
      </c>
      <c r="M15" s="163">
        <v>0</v>
      </c>
      <c r="N15" s="163">
        <v>0</v>
      </c>
      <c r="O15" s="163">
        <v>0</v>
      </c>
      <c r="P15" s="163">
        <v>0</v>
      </c>
      <c r="R15" s="173">
        <v>5</v>
      </c>
      <c r="S15" s="196"/>
    </row>
    <row r="16" spans="1:19" ht="16.95" customHeight="1" x14ac:dyDescent="0.25">
      <c r="A16" s="173">
        <f t="shared" si="0"/>
        <v>6</v>
      </c>
      <c r="B16" s="195" t="s">
        <v>386</v>
      </c>
      <c r="D16" s="165">
        <f t="shared" si="1"/>
        <v>0</v>
      </c>
      <c r="E16" s="163">
        <v>0</v>
      </c>
      <c r="F16" s="163">
        <v>0</v>
      </c>
      <c r="G16" s="163">
        <v>0</v>
      </c>
      <c r="H16" s="163">
        <v>0</v>
      </c>
      <c r="I16" s="163">
        <v>0</v>
      </c>
      <c r="J16" s="163">
        <v>0</v>
      </c>
      <c r="K16" s="163">
        <v>0</v>
      </c>
      <c r="L16" s="163">
        <v>0</v>
      </c>
      <c r="M16" s="163">
        <v>0</v>
      </c>
      <c r="N16" s="163">
        <v>0</v>
      </c>
      <c r="O16" s="163">
        <v>0</v>
      </c>
      <c r="P16" s="163">
        <v>0</v>
      </c>
      <c r="R16" s="173">
        <v>6</v>
      </c>
      <c r="S16" s="196" t="s">
        <v>735</v>
      </c>
    </row>
    <row r="17" spans="1:19" ht="16.95" customHeight="1" x14ac:dyDescent="0.25">
      <c r="A17" s="173">
        <f t="shared" si="0"/>
        <v>7</v>
      </c>
      <c r="B17" s="198" t="s">
        <v>377</v>
      </c>
      <c r="D17" s="164"/>
      <c r="E17" s="164"/>
      <c r="F17" s="164"/>
      <c r="G17" s="164"/>
      <c r="H17" s="164"/>
      <c r="I17" s="164"/>
      <c r="J17" s="164"/>
      <c r="K17" s="164"/>
      <c r="L17" s="164"/>
      <c r="M17" s="164"/>
      <c r="N17" s="164"/>
      <c r="O17" s="164"/>
      <c r="P17" s="164"/>
      <c r="R17" s="173">
        <v>7</v>
      </c>
      <c r="S17" s="196" t="s">
        <v>649</v>
      </c>
    </row>
    <row r="18" spans="1:19" ht="16.95" customHeight="1" x14ac:dyDescent="0.25">
      <c r="A18" s="216">
        <f t="shared" si="0"/>
        <v>7.1</v>
      </c>
      <c r="B18" s="202" t="s">
        <v>372</v>
      </c>
      <c r="D18" s="165">
        <f t="shared" si="1"/>
        <v>-233749.5</v>
      </c>
      <c r="E18" s="163">
        <f>-'A2. Bgt_FuncExp'!$K$8/12</f>
        <v>-19479.125</v>
      </c>
      <c r="F18" s="163">
        <f>-'A2. Bgt_FuncExp'!$K$8/12</f>
        <v>-19479.125</v>
      </c>
      <c r="G18" s="163">
        <f>-'A2. Bgt_FuncExp'!$K$8/12</f>
        <v>-19479.125</v>
      </c>
      <c r="H18" s="163">
        <f>-'A2. Bgt_FuncExp'!$K$8/12</f>
        <v>-19479.125</v>
      </c>
      <c r="I18" s="163">
        <f>-'A2. Bgt_FuncExp'!$K$8/12</f>
        <v>-19479.125</v>
      </c>
      <c r="J18" s="163">
        <f>-'A2. Bgt_FuncExp'!$K$8/12</f>
        <v>-19479.125</v>
      </c>
      <c r="K18" s="163">
        <f>-'A2. Bgt_FuncExp'!$K$8/12</f>
        <v>-19479.125</v>
      </c>
      <c r="L18" s="163">
        <f>-'A2. Bgt_FuncExp'!$K$8/12</f>
        <v>-19479.125</v>
      </c>
      <c r="M18" s="163">
        <f>-'A2. Bgt_FuncExp'!$K$8/12</f>
        <v>-19479.125</v>
      </c>
      <c r="N18" s="163">
        <f>-'A2. Bgt_FuncExp'!$K$8/12</f>
        <v>-19479.125</v>
      </c>
      <c r="O18" s="163">
        <f>-'A2. Bgt_FuncExp'!$K$8/12</f>
        <v>-19479.125</v>
      </c>
      <c r="P18" s="163">
        <f>-'A2. Bgt_FuncExp'!$K$8/12</f>
        <v>-19479.125</v>
      </c>
      <c r="R18" s="215">
        <v>7.1</v>
      </c>
      <c r="S18" s="3"/>
    </row>
    <row r="19" spans="1:19" ht="16.95" customHeight="1" x14ac:dyDescent="0.25">
      <c r="A19" s="216">
        <f t="shared" si="0"/>
        <v>7.2</v>
      </c>
      <c r="B19" s="202" t="s">
        <v>373</v>
      </c>
      <c r="D19" s="165">
        <f t="shared" si="1"/>
        <v>-1216528.5</v>
      </c>
      <c r="E19" s="163">
        <f>-'A2. Bgt_FuncExp'!$K$41/12</f>
        <v>-101377.375</v>
      </c>
      <c r="F19" s="163">
        <f>-'A2. Bgt_FuncExp'!$K$41/12</f>
        <v>-101377.375</v>
      </c>
      <c r="G19" s="163">
        <f>-'A2. Bgt_FuncExp'!$K$41/12</f>
        <v>-101377.375</v>
      </c>
      <c r="H19" s="163">
        <f>-'A2. Bgt_FuncExp'!$K$41/12</f>
        <v>-101377.375</v>
      </c>
      <c r="I19" s="163">
        <f>-'A2. Bgt_FuncExp'!$K$41/12</f>
        <v>-101377.375</v>
      </c>
      <c r="J19" s="163">
        <f>-'A2. Bgt_FuncExp'!$K$41/12</f>
        <v>-101377.375</v>
      </c>
      <c r="K19" s="163">
        <f>-'A2. Bgt_FuncExp'!$K$41/12</f>
        <v>-101377.375</v>
      </c>
      <c r="L19" s="163">
        <f>-'A2. Bgt_FuncExp'!$K$41/12</f>
        <v>-101377.375</v>
      </c>
      <c r="M19" s="163">
        <f>-'A2. Bgt_FuncExp'!$K$41/12</f>
        <v>-101377.375</v>
      </c>
      <c r="N19" s="163">
        <f>-'A2. Bgt_FuncExp'!$K$41/12</f>
        <v>-101377.375</v>
      </c>
      <c r="O19" s="163">
        <f>-'A2. Bgt_FuncExp'!$K$41/12</f>
        <v>-101377.375</v>
      </c>
      <c r="P19" s="163">
        <f>-'A2. Bgt_FuncExp'!$K$41/12</f>
        <v>-101377.375</v>
      </c>
      <c r="R19" s="215">
        <v>7.2</v>
      </c>
      <c r="S19" s="3"/>
    </row>
    <row r="20" spans="1:19" ht="16.95" customHeight="1" x14ac:dyDescent="0.25">
      <c r="A20" s="216">
        <f t="shared" si="0"/>
        <v>7.3</v>
      </c>
      <c r="B20" s="202" t="s">
        <v>374</v>
      </c>
      <c r="D20" s="165">
        <f t="shared" si="1"/>
        <v>-270000</v>
      </c>
      <c r="E20" s="163">
        <f>-'A2. Bgt_FuncExp'!$K$77/12</f>
        <v>-22500</v>
      </c>
      <c r="F20" s="163">
        <f>-'A2. Bgt_FuncExp'!$K$77/12</f>
        <v>-22500</v>
      </c>
      <c r="G20" s="163">
        <f>-'A2. Bgt_FuncExp'!$K$77/12</f>
        <v>-22500</v>
      </c>
      <c r="H20" s="163">
        <f>-'A2. Bgt_FuncExp'!$K$77/12</f>
        <v>-22500</v>
      </c>
      <c r="I20" s="163">
        <f>-'A2. Bgt_FuncExp'!$K$77/12</f>
        <v>-22500</v>
      </c>
      <c r="J20" s="163">
        <f>-'A2. Bgt_FuncExp'!$K$77/12</f>
        <v>-22500</v>
      </c>
      <c r="K20" s="163">
        <f>-'A2. Bgt_FuncExp'!$K$77/12</f>
        <v>-22500</v>
      </c>
      <c r="L20" s="163">
        <f>-'A2. Bgt_FuncExp'!$K$77/12</f>
        <v>-22500</v>
      </c>
      <c r="M20" s="163">
        <f>-'A2. Bgt_FuncExp'!$K$77/12</f>
        <v>-22500</v>
      </c>
      <c r="N20" s="163">
        <f>-'A2. Bgt_FuncExp'!$K$77/12</f>
        <v>-22500</v>
      </c>
      <c r="O20" s="163">
        <f>-'A2. Bgt_FuncExp'!$K$77/12</f>
        <v>-22500</v>
      </c>
      <c r="P20" s="163">
        <f>-'A2. Bgt_FuncExp'!$K$77/12</f>
        <v>-22500</v>
      </c>
      <c r="R20" s="215">
        <v>7.3</v>
      </c>
      <c r="S20" s="3"/>
    </row>
    <row r="21" spans="1:19" ht="16.95" customHeight="1" x14ac:dyDescent="0.25">
      <c r="A21" s="216">
        <f t="shared" si="0"/>
        <v>7.4</v>
      </c>
      <c r="B21" s="202" t="s">
        <v>375</v>
      </c>
      <c r="D21" s="165">
        <f t="shared" si="1"/>
        <v>-99000</v>
      </c>
      <c r="E21" s="163">
        <f>-'A2. Bgt_FuncExp'!$K$86/12</f>
        <v>-8250</v>
      </c>
      <c r="F21" s="163">
        <f>-'A2. Bgt_FuncExp'!$K$86/12</f>
        <v>-8250</v>
      </c>
      <c r="G21" s="163">
        <f>-'A2. Bgt_FuncExp'!$K$86/12</f>
        <v>-8250</v>
      </c>
      <c r="H21" s="163">
        <f>-'A2. Bgt_FuncExp'!$K$86/12</f>
        <v>-8250</v>
      </c>
      <c r="I21" s="163">
        <f>-'A2. Bgt_FuncExp'!$K$86/12</f>
        <v>-8250</v>
      </c>
      <c r="J21" s="163">
        <f>-'A2. Bgt_FuncExp'!$K$86/12</f>
        <v>-8250</v>
      </c>
      <c r="K21" s="163">
        <f>-'A2. Bgt_FuncExp'!$K$86/12</f>
        <v>-8250</v>
      </c>
      <c r="L21" s="163">
        <f>-'A2. Bgt_FuncExp'!$K$86/12</f>
        <v>-8250</v>
      </c>
      <c r="M21" s="163">
        <f>-'A2. Bgt_FuncExp'!$K$86/12</f>
        <v>-8250</v>
      </c>
      <c r="N21" s="163">
        <f>-'A2. Bgt_FuncExp'!$K$86/12</f>
        <v>-8250</v>
      </c>
      <c r="O21" s="163">
        <f>-'A2. Bgt_FuncExp'!$K$86/12</f>
        <v>-8250</v>
      </c>
      <c r="P21" s="163">
        <f>-'A2. Bgt_FuncExp'!$K$86/12</f>
        <v>-8250</v>
      </c>
      <c r="R21" s="215">
        <v>7.4</v>
      </c>
      <c r="S21" s="196" t="s">
        <v>656</v>
      </c>
    </row>
    <row r="22" spans="1:19" ht="16.95" customHeight="1" x14ac:dyDescent="0.25">
      <c r="A22" s="216">
        <f t="shared" si="0"/>
        <v>7.5</v>
      </c>
      <c r="B22" s="204" t="s">
        <v>376</v>
      </c>
      <c r="D22" s="165">
        <f t="shared" si="1"/>
        <v>0</v>
      </c>
      <c r="E22" s="163">
        <f>-'A2. Bgt_FuncExp'!$K$99/12</f>
        <v>0</v>
      </c>
      <c r="F22" s="163">
        <f>-'A2. Bgt_FuncExp'!$K$99/12</f>
        <v>0</v>
      </c>
      <c r="G22" s="163">
        <f>-'A2. Bgt_FuncExp'!$K$99/12</f>
        <v>0</v>
      </c>
      <c r="H22" s="163">
        <f>-'A2. Bgt_FuncExp'!$K$99/12</f>
        <v>0</v>
      </c>
      <c r="I22" s="163">
        <f>-'A2. Bgt_FuncExp'!$K$99/12</f>
        <v>0</v>
      </c>
      <c r="J22" s="163">
        <f>-'A2. Bgt_FuncExp'!$K$99/12</f>
        <v>0</v>
      </c>
      <c r="K22" s="163">
        <f>-'A2. Bgt_FuncExp'!$K$99/12</f>
        <v>0</v>
      </c>
      <c r="L22" s="163">
        <f>-'A2. Bgt_FuncExp'!$K$99/12</f>
        <v>0</v>
      </c>
      <c r="M22" s="163">
        <f>-'A2. Bgt_FuncExp'!$K$99/12</f>
        <v>0</v>
      </c>
      <c r="N22" s="163">
        <f>-'A2. Bgt_FuncExp'!$K$99/12</f>
        <v>0</v>
      </c>
      <c r="O22" s="163">
        <f>-'A2. Bgt_FuncExp'!$K$99/12</f>
        <v>0</v>
      </c>
      <c r="P22" s="163">
        <f>-'A2. Bgt_FuncExp'!$K$99/12</f>
        <v>0</v>
      </c>
      <c r="R22" s="215">
        <v>7.5</v>
      </c>
      <c r="S22" s="242"/>
    </row>
    <row r="23" spans="1:19" ht="16.95" customHeight="1" x14ac:dyDescent="0.25">
      <c r="A23" s="216">
        <f t="shared" si="0"/>
        <v>7.6</v>
      </c>
      <c r="B23" s="202" t="s">
        <v>378</v>
      </c>
      <c r="D23" s="165">
        <f t="shared" si="1"/>
        <v>-3000</v>
      </c>
      <c r="E23" s="163">
        <f>-'A2. Bgt_FuncExp'!$K$106/12</f>
        <v>-250</v>
      </c>
      <c r="F23" s="163">
        <f>-'A2. Bgt_FuncExp'!$K$106/12</f>
        <v>-250</v>
      </c>
      <c r="G23" s="163">
        <f>-'A2. Bgt_FuncExp'!$K$106/12</f>
        <v>-250</v>
      </c>
      <c r="H23" s="163">
        <f>-'A2. Bgt_FuncExp'!$K$106/12</f>
        <v>-250</v>
      </c>
      <c r="I23" s="163">
        <f>-'A2. Bgt_FuncExp'!$K$106/12</f>
        <v>-250</v>
      </c>
      <c r="J23" s="163">
        <f>-'A2. Bgt_FuncExp'!$K$106/12</f>
        <v>-250</v>
      </c>
      <c r="K23" s="163">
        <f>-'A2. Bgt_FuncExp'!$K$106/12</f>
        <v>-250</v>
      </c>
      <c r="L23" s="163">
        <f>-'A2. Bgt_FuncExp'!$K$106/12</f>
        <v>-250</v>
      </c>
      <c r="M23" s="163">
        <f>-'A2. Bgt_FuncExp'!$K$106/12</f>
        <v>-250</v>
      </c>
      <c r="N23" s="163">
        <f>-'A2. Bgt_FuncExp'!$K$106/12</f>
        <v>-250</v>
      </c>
      <c r="O23" s="163">
        <f>-'A2. Bgt_FuncExp'!$K$106/12</f>
        <v>-250</v>
      </c>
      <c r="P23" s="163">
        <f>-'A2. Bgt_FuncExp'!$K$106/12</f>
        <v>-250</v>
      </c>
      <c r="R23" s="215">
        <v>7.6</v>
      </c>
      <c r="S23" s="242"/>
    </row>
    <row r="24" spans="1:19" ht="16.95" customHeight="1" x14ac:dyDescent="0.25">
      <c r="A24" s="216">
        <f t="shared" si="0"/>
        <v>7.7</v>
      </c>
      <c r="B24" s="202" t="s">
        <v>379</v>
      </c>
      <c r="D24" s="165">
        <f t="shared" si="1"/>
        <v>0</v>
      </c>
      <c r="E24" s="163">
        <f>-'A2. Bgt_FuncExp'!$K$110/12</f>
        <v>0</v>
      </c>
      <c r="F24" s="163">
        <f>-'A2. Bgt_FuncExp'!$K$110/12</f>
        <v>0</v>
      </c>
      <c r="G24" s="163">
        <f>-'A2. Bgt_FuncExp'!$K$110/12</f>
        <v>0</v>
      </c>
      <c r="H24" s="163">
        <f>-'A2. Bgt_FuncExp'!$K$110/12</f>
        <v>0</v>
      </c>
      <c r="I24" s="163">
        <f>-'A2. Bgt_FuncExp'!$K$110/12</f>
        <v>0</v>
      </c>
      <c r="J24" s="163">
        <f>-'A2. Bgt_FuncExp'!$K$110/12</f>
        <v>0</v>
      </c>
      <c r="K24" s="163">
        <f>-'A2. Bgt_FuncExp'!$K$110/12</f>
        <v>0</v>
      </c>
      <c r="L24" s="163">
        <f>-'A2. Bgt_FuncExp'!$K$110/12</f>
        <v>0</v>
      </c>
      <c r="M24" s="163">
        <f>-'A2. Bgt_FuncExp'!$K$110/12</f>
        <v>0</v>
      </c>
      <c r="N24" s="163">
        <f>-'A2. Bgt_FuncExp'!$K$110/12</f>
        <v>0</v>
      </c>
      <c r="O24" s="163">
        <f>-'A2. Bgt_FuncExp'!$K$110/12</f>
        <v>0</v>
      </c>
      <c r="P24" s="163">
        <f>-'A2. Bgt_FuncExp'!$K$110/12</f>
        <v>0</v>
      </c>
      <c r="R24" s="215">
        <v>7.7</v>
      </c>
      <c r="S24" s="242"/>
    </row>
    <row r="25" spans="1:19" ht="16.95" customHeight="1" x14ac:dyDescent="0.25">
      <c r="A25" s="173">
        <f t="shared" si="0"/>
        <v>8</v>
      </c>
      <c r="B25" s="194" t="s">
        <v>240</v>
      </c>
      <c r="D25" s="167">
        <f t="shared" ref="D25:P25" si="2">SUM(D11:D24)</f>
        <v>351080.41999999993</v>
      </c>
      <c r="E25" s="167">
        <f t="shared" si="2"/>
        <v>1018143.5</v>
      </c>
      <c r="F25" s="167">
        <f t="shared" si="2"/>
        <v>-151856.5</v>
      </c>
      <c r="G25" s="167">
        <f t="shared" si="2"/>
        <v>-151856.5</v>
      </c>
      <c r="H25" s="167">
        <f t="shared" si="2"/>
        <v>-151856.5</v>
      </c>
      <c r="I25" s="167">
        <f t="shared" si="2"/>
        <v>433143.5</v>
      </c>
      <c r="J25" s="167">
        <f t="shared" si="2"/>
        <v>-101856.5</v>
      </c>
      <c r="K25" s="167">
        <f t="shared" si="2"/>
        <v>-101856.5</v>
      </c>
      <c r="L25" s="167">
        <f t="shared" si="2"/>
        <v>-151856.5</v>
      </c>
      <c r="M25" s="167">
        <f t="shared" si="2"/>
        <v>-151856.5</v>
      </c>
      <c r="N25" s="167">
        <f t="shared" si="2"/>
        <v>-151856.5</v>
      </c>
      <c r="O25" s="167">
        <f t="shared" si="2"/>
        <v>-151856.5</v>
      </c>
      <c r="P25" s="167">
        <f t="shared" si="2"/>
        <v>166501.92000000004</v>
      </c>
      <c r="R25" s="173">
        <v>8</v>
      </c>
      <c r="S25" s="242" t="s">
        <v>22</v>
      </c>
    </row>
    <row r="26" spans="1:19" ht="16.95" customHeight="1" x14ac:dyDescent="0.25">
      <c r="B26" s="2" t="s">
        <v>241</v>
      </c>
      <c r="D26" s="199"/>
      <c r="E26" s="199"/>
      <c r="F26" s="199"/>
      <c r="G26" s="199"/>
      <c r="H26" s="199"/>
      <c r="I26" s="199"/>
      <c r="J26" s="199"/>
      <c r="K26" s="199"/>
      <c r="L26" s="199"/>
      <c r="M26" s="199"/>
      <c r="N26" s="199"/>
      <c r="O26" s="199"/>
      <c r="P26" s="199"/>
      <c r="S26" s="237"/>
    </row>
    <row r="27" spans="1:19" ht="16.95" customHeight="1" x14ac:dyDescent="0.25">
      <c r="B27" s="192" t="s">
        <v>242</v>
      </c>
      <c r="D27" s="297"/>
      <c r="E27" s="297"/>
      <c r="F27" s="297"/>
      <c r="G27" s="297"/>
      <c r="H27" s="297"/>
      <c r="I27" s="297"/>
      <c r="J27" s="297"/>
      <c r="K27" s="297"/>
      <c r="L27" s="297"/>
      <c r="M27" s="297"/>
      <c r="N27" s="297"/>
      <c r="O27" s="297"/>
      <c r="P27" s="297"/>
      <c r="S27" s="237"/>
    </row>
    <row r="28" spans="1:19" ht="16.95" customHeight="1" x14ac:dyDescent="0.25">
      <c r="A28" s="173">
        <f t="shared" si="0"/>
        <v>9</v>
      </c>
      <c r="B28" s="195" t="s">
        <v>387</v>
      </c>
      <c r="D28" s="165">
        <f>SUM(E28:P28)</f>
        <v>0</v>
      </c>
      <c r="E28" s="163">
        <v>0</v>
      </c>
      <c r="F28" s="163">
        <v>0</v>
      </c>
      <c r="G28" s="163">
        <v>0</v>
      </c>
      <c r="H28" s="163">
        <v>0</v>
      </c>
      <c r="I28" s="163">
        <v>0</v>
      </c>
      <c r="J28" s="163">
        <v>0</v>
      </c>
      <c r="K28" s="163">
        <v>0</v>
      </c>
      <c r="L28" s="163">
        <v>0</v>
      </c>
      <c r="M28" s="163">
        <v>0</v>
      </c>
      <c r="N28" s="163">
        <v>0</v>
      </c>
      <c r="O28" s="163">
        <v>0</v>
      </c>
      <c r="P28" s="163">
        <v>0</v>
      </c>
      <c r="R28" s="173">
        <f>R25+1</f>
        <v>9</v>
      </c>
      <c r="S28" s="196" t="s">
        <v>652</v>
      </c>
    </row>
    <row r="29" spans="1:19" ht="16.95" customHeight="1" x14ac:dyDescent="0.25">
      <c r="A29" s="173">
        <f t="shared" si="0"/>
        <v>10</v>
      </c>
      <c r="B29" s="195" t="s">
        <v>388</v>
      </c>
      <c r="D29" s="165">
        <f>SUM(E29:P29)</f>
        <v>0</v>
      </c>
      <c r="E29" s="163">
        <v>0</v>
      </c>
      <c r="F29" s="163">
        <v>0</v>
      </c>
      <c r="G29" s="163">
        <v>0</v>
      </c>
      <c r="H29" s="163">
        <v>0</v>
      </c>
      <c r="I29" s="163">
        <v>0</v>
      </c>
      <c r="J29" s="163">
        <v>0</v>
      </c>
      <c r="K29" s="163">
        <v>0</v>
      </c>
      <c r="L29" s="163">
        <v>0</v>
      </c>
      <c r="M29" s="163">
        <v>0</v>
      </c>
      <c r="N29" s="163">
        <v>0</v>
      </c>
      <c r="O29" s="163">
        <v>0</v>
      </c>
      <c r="P29" s="163">
        <v>0</v>
      </c>
      <c r="R29" s="173">
        <f>R28+1</f>
        <v>10</v>
      </c>
      <c r="S29" s="196" t="s">
        <v>575</v>
      </c>
    </row>
    <row r="30" spans="1:19" ht="16.95" customHeight="1" x14ac:dyDescent="0.25">
      <c r="A30" s="173">
        <f t="shared" si="0"/>
        <v>11</v>
      </c>
      <c r="B30" s="52" t="s">
        <v>243</v>
      </c>
      <c r="D30" s="167">
        <f>SUM(E28:P29)</f>
        <v>0</v>
      </c>
      <c r="E30" s="167">
        <f>SUM(E28:P29)</f>
        <v>0</v>
      </c>
      <c r="F30" s="167">
        <f>SUM(F28:P29)</f>
        <v>0</v>
      </c>
      <c r="G30" s="167">
        <f>SUM(G28:P29)</f>
        <v>0</v>
      </c>
      <c r="H30" s="167">
        <f>SUM(H28:P29)</f>
        <v>0</v>
      </c>
      <c r="I30" s="167">
        <f>SUM(I28:P29)</f>
        <v>0</v>
      </c>
      <c r="J30" s="167">
        <f>SUM(J28:P29)</f>
        <v>0</v>
      </c>
      <c r="K30" s="167">
        <f>SUM(K28:P29)</f>
        <v>0</v>
      </c>
      <c r="L30" s="167">
        <f>SUM(L28:P29)</f>
        <v>0</v>
      </c>
      <c r="M30" s="167">
        <f>SUM(M28:P29)</f>
        <v>0</v>
      </c>
      <c r="N30" s="167">
        <f>SUM(N28:P29)</f>
        <v>0</v>
      </c>
      <c r="O30" s="167">
        <f>SUM(O28:P29)</f>
        <v>0</v>
      </c>
      <c r="P30" s="167">
        <f>SUM(P28:P29)</f>
        <v>0</v>
      </c>
      <c r="R30" s="173">
        <f>R29+1</f>
        <v>11</v>
      </c>
      <c r="S30" s="242" t="s">
        <v>244</v>
      </c>
    </row>
    <row r="31" spans="1:19" ht="16.95" customHeight="1" x14ac:dyDescent="0.25">
      <c r="D31" s="199"/>
      <c r="E31" s="199"/>
      <c r="F31" s="199"/>
      <c r="G31" s="199"/>
      <c r="H31" s="199"/>
      <c r="I31" s="199"/>
      <c r="J31" s="199"/>
      <c r="K31" s="199"/>
      <c r="L31" s="199"/>
      <c r="M31" s="199"/>
      <c r="N31" s="199"/>
      <c r="O31" s="199"/>
      <c r="P31" s="199"/>
      <c r="S31" s="237"/>
    </row>
    <row r="32" spans="1:19" ht="16.95" customHeight="1" x14ac:dyDescent="0.25">
      <c r="B32" s="192" t="s">
        <v>245</v>
      </c>
      <c r="D32" s="297"/>
      <c r="E32" s="297"/>
      <c r="F32" s="297"/>
      <c r="G32" s="297"/>
      <c r="H32" s="297"/>
      <c r="I32" s="297"/>
      <c r="J32" s="297"/>
      <c r="K32" s="297"/>
      <c r="L32" s="297"/>
      <c r="M32" s="297"/>
      <c r="N32" s="297"/>
      <c r="O32" s="297"/>
      <c r="P32" s="297"/>
      <c r="S32" s="237"/>
    </row>
    <row r="33" spans="1:19" ht="16.95" customHeight="1" x14ac:dyDescent="0.25">
      <c r="A33" s="173">
        <f t="shared" si="0"/>
        <v>12</v>
      </c>
      <c r="B33" s="195" t="s">
        <v>389</v>
      </c>
      <c r="D33" s="165">
        <f>SUM(E33:P33)</f>
        <v>0</v>
      </c>
      <c r="E33" s="163">
        <v>0</v>
      </c>
      <c r="F33" s="163">
        <v>0</v>
      </c>
      <c r="G33" s="163">
        <v>0</v>
      </c>
      <c r="H33" s="163">
        <v>0</v>
      </c>
      <c r="I33" s="163">
        <v>0</v>
      </c>
      <c r="J33" s="163">
        <v>0</v>
      </c>
      <c r="K33" s="163">
        <v>0</v>
      </c>
      <c r="L33" s="163">
        <v>0</v>
      </c>
      <c r="M33" s="163">
        <v>0</v>
      </c>
      <c r="N33" s="163">
        <v>0</v>
      </c>
      <c r="O33" s="163">
        <v>0</v>
      </c>
      <c r="P33" s="163">
        <v>0</v>
      </c>
      <c r="R33" s="173">
        <f>R30+1</f>
        <v>12</v>
      </c>
      <c r="S33" s="196" t="s">
        <v>647</v>
      </c>
    </row>
    <row r="34" spans="1:19" ht="16.95" customHeight="1" x14ac:dyDescent="0.25">
      <c r="A34" s="173">
        <f t="shared" si="0"/>
        <v>13</v>
      </c>
      <c r="B34" s="195" t="s">
        <v>390</v>
      </c>
      <c r="D34" s="165">
        <f>SUM(E34:P34)</f>
        <v>0</v>
      </c>
      <c r="E34" s="163">
        <v>0</v>
      </c>
      <c r="F34" s="163">
        <v>0</v>
      </c>
      <c r="G34" s="163">
        <v>0</v>
      </c>
      <c r="H34" s="163">
        <v>0</v>
      </c>
      <c r="I34" s="163">
        <v>0</v>
      </c>
      <c r="J34" s="163">
        <v>0</v>
      </c>
      <c r="K34" s="163">
        <v>0</v>
      </c>
      <c r="L34" s="163">
        <v>0</v>
      </c>
      <c r="M34" s="163">
        <v>0</v>
      </c>
      <c r="N34" s="163">
        <v>0</v>
      </c>
      <c r="O34" s="163">
        <v>0</v>
      </c>
      <c r="P34" s="163">
        <v>0</v>
      </c>
      <c r="R34" s="173">
        <f>R33+1</f>
        <v>13</v>
      </c>
      <c r="S34" s="196" t="s">
        <v>573</v>
      </c>
    </row>
    <row r="35" spans="1:19" ht="16.95" customHeight="1" x14ac:dyDescent="0.25">
      <c r="A35" s="173">
        <f t="shared" si="0"/>
        <v>14</v>
      </c>
      <c r="B35" s="195" t="s">
        <v>391</v>
      </c>
      <c r="D35" s="165">
        <f>SUM(E35:P35)</f>
        <v>0</v>
      </c>
      <c r="E35" s="163">
        <v>0</v>
      </c>
      <c r="F35" s="163">
        <v>0</v>
      </c>
      <c r="G35" s="163">
        <v>0</v>
      </c>
      <c r="H35" s="163">
        <v>0</v>
      </c>
      <c r="I35" s="163">
        <v>0</v>
      </c>
      <c r="J35" s="163">
        <v>0</v>
      </c>
      <c r="K35" s="163">
        <v>0</v>
      </c>
      <c r="L35" s="163">
        <v>0</v>
      </c>
      <c r="M35" s="163">
        <v>0</v>
      </c>
      <c r="N35" s="163">
        <v>0</v>
      </c>
      <c r="O35" s="163">
        <v>0</v>
      </c>
      <c r="P35" s="163">
        <v>0</v>
      </c>
      <c r="R35" s="173">
        <f>R34+1</f>
        <v>14</v>
      </c>
      <c r="S35" s="196" t="s">
        <v>647</v>
      </c>
    </row>
    <row r="36" spans="1:19" ht="16.95" customHeight="1" x14ac:dyDescent="0.25">
      <c r="A36" s="173">
        <f t="shared" si="0"/>
        <v>15</v>
      </c>
      <c r="B36" s="195" t="s">
        <v>392</v>
      </c>
      <c r="D36" s="165">
        <f>SUM(E36:P36)</f>
        <v>0</v>
      </c>
      <c r="E36" s="163"/>
      <c r="F36" s="163"/>
      <c r="G36" s="163"/>
      <c r="H36" s="163"/>
      <c r="I36" s="163"/>
      <c r="J36" s="163"/>
      <c r="K36" s="163"/>
      <c r="L36" s="163"/>
      <c r="M36" s="163"/>
      <c r="N36" s="163"/>
      <c r="O36" s="163"/>
      <c r="P36" s="163"/>
      <c r="R36" s="173">
        <f>R35+1</f>
        <v>15</v>
      </c>
      <c r="S36" s="196" t="s">
        <v>647</v>
      </c>
    </row>
    <row r="37" spans="1:19" ht="16.95" customHeight="1" x14ac:dyDescent="0.25">
      <c r="A37" s="173">
        <f t="shared" si="0"/>
        <v>16</v>
      </c>
      <c r="B37" s="52" t="s">
        <v>246</v>
      </c>
      <c r="D37" s="200">
        <f>SUM(D33:D36)</f>
        <v>0</v>
      </c>
      <c r="E37" s="167">
        <f t="shared" ref="E37:P37" si="3">SUM(E33:E36)</f>
        <v>0</v>
      </c>
      <c r="F37" s="167">
        <f t="shared" si="3"/>
        <v>0</v>
      </c>
      <c r="G37" s="167">
        <f t="shared" si="3"/>
        <v>0</v>
      </c>
      <c r="H37" s="167">
        <f t="shared" si="3"/>
        <v>0</v>
      </c>
      <c r="I37" s="167">
        <f t="shared" si="3"/>
        <v>0</v>
      </c>
      <c r="J37" s="167">
        <f t="shared" si="3"/>
        <v>0</v>
      </c>
      <c r="K37" s="167">
        <f t="shared" si="3"/>
        <v>0</v>
      </c>
      <c r="L37" s="167">
        <f t="shared" si="3"/>
        <v>0</v>
      </c>
      <c r="M37" s="167">
        <f t="shared" si="3"/>
        <v>0</v>
      </c>
      <c r="N37" s="167">
        <f t="shared" si="3"/>
        <v>0</v>
      </c>
      <c r="O37" s="167">
        <f t="shared" si="3"/>
        <v>0</v>
      </c>
      <c r="P37" s="167">
        <f t="shared" si="3"/>
        <v>0</v>
      </c>
      <c r="R37" s="173">
        <f>R36+1</f>
        <v>16</v>
      </c>
      <c r="S37" s="3" t="s">
        <v>244</v>
      </c>
    </row>
    <row r="38" spans="1:19" ht="16.95" customHeight="1" x14ac:dyDescent="0.25">
      <c r="D38" s="199"/>
      <c r="E38" s="199"/>
      <c r="F38" s="199"/>
      <c r="G38" s="199"/>
      <c r="H38" s="199"/>
      <c r="I38" s="199"/>
      <c r="J38" s="199"/>
      <c r="K38" s="199"/>
      <c r="L38" s="199"/>
      <c r="M38" s="199"/>
      <c r="N38" s="199"/>
      <c r="O38" s="199"/>
      <c r="P38" s="199"/>
    </row>
    <row r="39" spans="1:19" ht="16.95" customHeight="1" x14ac:dyDescent="0.25">
      <c r="A39" s="173">
        <f t="shared" si="0"/>
        <v>17</v>
      </c>
      <c r="B39" s="52" t="s">
        <v>247</v>
      </c>
      <c r="D39" s="167">
        <f>D25-D30-D37</f>
        <v>351080.41999999993</v>
      </c>
      <c r="E39" s="167">
        <f>E25-E30-E37</f>
        <v>1018143.5</v>
      </c>
      <c r="F39" s="167">
        <f t="shared" ref="F39:P39" si="4">F25-F30-F37</f>
        <v>-151856.5</v>
      </c>
      <c r="G39" s="167">
        <f t="shared" si="4"/>
        <v>-151856.5</v>
      </c>
      <c r="H39" s="167">
        <f t="shared" si="4"/>
        <v>-151856.5</v>
      </c>
      <c r="I39" s="167">
        <f t="shared" si="4"/>
        <v>433143.5</v>
      </c>
      <c r="J39" s="167">
        <f t="shared" si="4"/>
        <v>-101856.5</v>
      </c>
      <c r="K39" s="167">
        <f t="shared" si="4"/>
        <v>-101856.5</v>
      </c>
      <c r="L39" s="167">
        <f t="shared" si="4"/>
        <v>-151856.5</v>
      </c>
      <c r="M39" s="167">
        <f t="shared" si="4"/>
        <v>-151856.5</v>
      </c>
      <c r="N39" s="167">
        <f t="shared" si="4"/>
        <v>-151856.5</v>
      </c>
      <c r="O39" s="167">
        <f t="shared" si="4"/>
        <v>-151856.5</v>
      </c>
      <c r="P39" s="167">
        <f t="shared" si="4"/>
        <v>166501.92000000004</v>
      </c>
      <c r="R39" s="173">
        <f>R37+1</f>
        <v>17</v>
      </c>
      <c r="S39" s="3" t="s">
        <v>244</v>
      </c>
    </row>
    <row r="40" spans="1:19" ht="16.95" customHeight="1" x14ac:dyDescent="0.25">
      <c r="B40" s="52"/>
      <c r="D40" s="199"/>
      <c r="E40" s="199"/>
      <c r="F40" s="199"/>
      <c r="G40" s="199"/>
      <c r="H40" s="199"/>
      <c r="I40" s="199"/>
      <c r="J40" s="199"/>
      <c r="K40" s="199"/>
      <c r="L40" s="199"/>
      <c r="M40" s="199"/>
      <c r="N40" s="199"/>
      <c r="O40" s="199"/>
      <c r="P40" s="199"/>
    </row>
    <row r="41" spans="1:19" ht="16.95" customHeight="1" x14ac:dyDescent="0.25">
      <c r="A41" s="173">
        <f t="shared" si="0"/>
        <v>18</v>
      </c>
      <c r="B41" s="52" t="s">
        <v>248</v>
      </c>
      <c r="D41" s="167">
        <f>E41</f>
        <v>451259.83250000031</v>
      </c>
      <c r="E41" s="166">
        <f>'A3. Estimated Cash Flow Yr 2'!P42</f>
        <v>451259.83250000031</v>
      </c>
      <c r="F41" s="167">
        <f t="shared" ref="F41:P41" si="5">E42</f>
        <v>1469403.3325000003</v>
      </c>
      <c r="G41" s="167">
        <f t="shared" si="5"/>
        <v>1317546.8325000003</v>
      </c>
      <c r="H41" s="167">
        <f t="shared" si="5"/>
        <v>1165690.3325000003</v>
      </c>
      <c r="I41" s="167">
        <f t="shared" si="5"/>
        <v>1013833.8325000003</v>
      </c>
      <c r="J41" s="167">
        <f t="shared" si="5"/>
        <v>1446977.3325000003</v>
      </c>
      <c r="K41" s="167">
        <f t="shared" si="5"/>
        <v>1345120.8325000003</v>
      </c>
      <c r="L41" s="167">
        <f t="shared" si="5"/>
        <v>1243264.3325000003</v>
      </c>
      <c r="M41" s="167">
        <f t="shared" si="5"/>
        <v>1091407.8325000003</v>
      </c>
      <c r="N41" s="167">
        <f t="shared" si="5"/>
        <v>939551.33250000025</v>
      </c>
      <c r="O41" s="167">
        <f t="shared" si="5"/>
        <v>787694.83250000025</v>
      </c>
      <c r="P41" s="167">
        <f t="shared" si="5"/>
        <v>635838.33250000025</v>
      </c>
      <c r="R41" s="173">
        <f>R39+1</f>
        <v>18</v>
      </c>
      <c r="S41" s="3" t="s">
        <v>249</v>
      </c>
    </row>
    <row r="42" spans="1:19" ht="16.95" customHeight="1" x14ac:dyDescent="0.25">
      <c r="A42" s="173">
        <f t="shared" si="0"/>
        <v>20</v>
      </c>
      <c r="B42" s="52" t="s">
        <v>250</v>
      </c>
      <c r="D42" s="167">
        <f t="shared" ref="D42:P42" si="6">D39+D41</f>
        <v>802340.25250000018</v>
      </c>
      <c r="E42" s="167">
        <f>E39+E41</f>
        <v>1469403.3325000003</v>
      </c>
      <c r="F42" s="167">
        <f t="shared" si="6"/>
        <v>1317546.8325000003</v>
      </c>
      <c r="G42" s="167">
        <f t="shared" si="6"/>
        <v>1165690.3325000003</v>
      </c>
      <c r="H42" s="167">
        <f t="shared" si="6"/>
        <v>1013833.8325000003</v>
      </c>
      <c r="I42" s="167">
        <f t="shared" si="6"/>
        <v>1446977.3325000003</v>
      </c>
      <c r="J42" s="167">
        <f t="shared" si="6"/>
        <v>1345120.8325000003</v>
      </c>
      <c r="K42" s="167">
        <f t="shared" si="6"/>
        <v>1243264.3325000003</v>
      </c>
      <c r="L42" s="167">
        <f t="shared" si="6"/>
        <v>1091407.8325000003</v>
      </c>
      <c r="M42" s="167">
        <f t="shared" si="6"/>
        <v>939551.33250000025</v>
      </c>
      <c r="N42" s="167">
        <f t="shared" si="6"/>
        <v>787694.83250000025</v>
      </c>
      <c r="O42" s="167">
        <f t="shared" si="6"/>
        <v>635838.33250000025</v>
      </c>
      <c r="P42" s="167">
        <f t="shared" si="6"/>
        <v>802340.25250000029</v>
      </c>
      <c r="R42" s="173">
        <v>20</v>
      </c>
      <c r="S42" s="3" t="s">
        <v>244</v>
      </c>
    </row>
  </sheetData>
  <mergeCells count="1">
    <mergeCell ref="A4:P4"/>
  </mergeCells>
  <pageMargins left="0.7" right="0.7" top="0.75" bottom="0.75" header="0.3" footer="0.3"/>
  <pageSetup scale="48" orientation="landscape" horizontalDpi="1200" verticalDpi="1200" r:id="rId1"/>
  <colBreaks count="1" manualBreakCount="1">
    <brk id="16" max="1048575" man="1"/>
  </colBreaks>
  <ignoredErrors>
    <ignoredError sqref="D25:P25" emptyCellReferenc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DB4E2"/>
  </sheetPr>
  <dimension ref="B1:O79"/>
  <sheetViews>
    <sheetView zoomScale="40" zoomScaleNormal="40" workbookViewId="0">
      <selection activeCell="M28" sqref="M28"/>
    </sheetView>
  </sheetViews>
  <sheetFormatPr defaultColWidth="8.44140625" defaultRowHeight="16.95" customHeight="1" x14ac:dyDescent="0.25"/>
  <cols>
    <col min="1" max="1" width="2.6640625" style="14" customWidth="1"/>
    <col min="2" max="2" width="7" style="14" customWidth="1"/>
    <col min="3" max="3" width="12.44140625" style="14" customWidth="1"/>
    <col min="4" max="4" width="25" style="14" customWidth="1"/>
    <col min="5" max="5" width="4.44140625" style="14" customWidth="1"/>
    <col min="6" max="9" width="14.109375" style="14" customWidth="1"/>
    <col min="10" max="10" width="4.44140625" style="14" customWidth="1"/>
    <col min="11" max="11" width="107.44140625" style="14" bestFit="1" customWidth="1"/>
    <col min="12" max="12" width="2" style="14" customWidth="1"/>
    <col min="13" max="13" width="86.6640625" style="14" customWidth="1"/>
    <col min="14" max="16384" width="8.44140625" style="14"/>
  </cols>
  <sheetData>
    <row r="1" spans="2:15" s="33" customFormat="1" ht="16.95" customHeight="1" thickBot="1" x14ac:dyDescent="0.3">
      <c r="B1" s="13"/>
      <c r="C1" s="6"/>
    </row>
    <row r="2" spans="2:15" s="33" customFormat="1" ht="16.95" customHeight="1" thickBot="1" x14ac:dyDescent="0.3">
      <c r="B2" s="57" t="s">
        <v>657</v>
      </c>
      <c r="C2" s="489" t="s">
        <v>400</v>
      </c>
      <c r="D2" s="490"/>
    </row>
    <row r="3" spans="2:15" s="33" customFormat="1" ht="16.95" customHeight="1" x14ac:dyDescent="0.25">
      <c r="B3" s="57"/>
      <c r="C3" s="491" t="s">
        <v>683</v>
      </c>
      <c r="D3" s="491"/>
      <c r="J3" s="144"/>
    </row>
    <row r="4" spans="2:15" ht="16.95" customHeight="1" x14ac:dyDescent="0.25">
      <c r="B4" s="33"/>
      <c r="C4" s="492" t="s">
        <v>684</v>
      </c>
      <c r="D4" s="492"/>
      <c r="E4" s="492"/>
      <c r="F4" s="492"/>
      <c r="G4" s="492"/>
      <c r="H4" s="492"/>
      <c r="I4" s="492"/>
      <c r="J4" s="126"/>
      <c r="K4" s="33"/>
      <c r="L4" s="33"/>
      <c r="M4" s="38"/>
      <c r="N4" s="38"/>
    </row>
    <row r="5" spans="2:15" ht="16.95" customHeight="1" x14ac:dyDescent="0.25">
      <c r="B5" s="33"/>
      <c r="C5" s="492" t="s">
        <v>658</v>
      </c>
      <c r="D5" s="492"/>
      <c r="E5" s="492"/>
      <c r="F5" s="492"/>
      <c r="G5" s="492"/>
      <c r="H5" s="492"/>
      <c r="I5" s="492"/>
      <c r="J5" s="126"/>
      <c r="K5" s="33"/>
      <c r="L5" s="33"/>
      <c r="M5" s="38"/>
      <c r="N5" s="38"/>
      <c r="O5" s="38"/>
    </row>
    <row r="6" spans="2:15" ht="16.95" customHeight="1" x14ac:dyDescent="0.25">
      <c r="B6" s="126"/>
      <c r="C6" s="126"/>
      <c r="D6" s="126"/>
      <c r="E6" s="126"/>
      <c r="F6" s="126"/>
      <c r="G6" s="126"/>
      <c r="H6" s="126"/>
      <c r="I6" s="126"/>
      <c r="J6" s="126"/>
      <c r="L6" s="38"/>
      <c r="M6" s="38"/>
      <c r="N6" s="38"/>
    </row>
    <row r="7" spans="2:15" ht="16.95" customHeight="1" x14ac:dyDescent="0.25">
      <c r="B7" s="5"/>
      <c r="C7" s="125"/>
      <c r="D7" s="398" t="s">
        <v>661</v>
      </c>
      <c r="E7" s="5"/>
      <c r="F7" s="406">
        <v>43281</v>
      </c>
      <c r="G7" s="406">
        <v>43646</v>
      </c>
      <c r="H7" s="406">
        <v>44012</v>
      </c>
      <c r="I7" s="406">
        <v>44377</v>
      </c>
      <c r="J7" s="5"/>
      <c r="K7" s="392" t="s">
        <v>4</v>
      </c>
      <c r="L7" s="38"/>
      <c r="M7" s="413" t="s">
        <v>665</v>
      </c>
      <c r="N7" s="38"/>
    </row>
    <row r="8" spans="2:15" ht="16.95" customHeight="1" x14ac:dyDescent="0.25">
      <c r="D8" s="33" t="s">
        <v>659</v>
      </c>
      <c r="E8" s="5"/>
      <c r="F8" s="405" t="s">
        <v>334</v>
      </c>
      <c r="G8" s="405" t="s">
        <v>224</v>
      </c>
      <c r="H8" s="405" t="s">
        <v>259</v>
      </c>
      <c r="I8" s="405" t="s">
        <v>258</v>
      </c>
      <c r="K8" s="393" t="s">
        <v>262</v>
      </c>
      <c r="L8" s="38"/>
      <c r="M8" s="38"/>
      <c r="N8" s="38"/>
    </row>
    <row r="9" spans="2:15" ht="16.95" customHeight="1" x14ac:dyDescent="0.25">
      <c r="B9" s="5"/>
      <c r="C9" s="403" t="s">
        <v>263</v>
      </c>
      <c r="D9" s="403"/>
      <c r="E9" s="5"/>
      <c r="F9" s="404"/>
      <c r="G9" s="404"/>
      <c r="H9" s="404"/>
      <c r="I9" s="404"/>
      <c r="K9" s="394" t="s">
        <v>264</v>
      </c>
      <c r="L9" s="38"/>
      <c r="M9" s="38"/>
      <c r="N9" s="38"/>
    </row>
    <row r="10" spans="2:15" ht="16.95" customHeight="1" x14ac:dyDescent="0.25">
      <c r="B10" s="5"/>
      <c r="C10" s="33" t="s">
        <v>265</v>
      </c>
      <c r="D10" s="33"/>
      <c r="E10" s="5"/>
      <c r="F10" s="5"/>
      <c r="G10" s="5"/>
      <c r="H10" s="5"/>
      <c r="I10" s="5"/>
      <c r="K10" s="395"/>
      <c r="L10" s="38"/>
      <c r="M10" s="38"/>
      <c r="N10" s="38"/>
    </row>
    <row r="11" spans="2:15" ht="16.95" customHeight="1" x14ac:dyDescent="0.25">
      <c r="B11" s="5">
        <v>1</v>
      </c>
      <c r="C11" s="37" t="s">
        <v>266</v>
      </c>
      <c r="D11" s="37"/>
      <c r="E11" s="5"/>
      <c r="F11" s="389">
        <f>'A3. Estimated Cash Flow Yr 0'!P42</f>
        <v>86400.000000000087</v>
      </c>
      <c r="G11" s="389">
        <f>'A3. Estimated Cash Flow Yr 1'!P42</f>
        <v>209320.41250000012</v>
      </c>
      <c r="H11" s="389">
        <f>'A3. Estimated Cash Flow Yr 2'!P42</f>
        <v>451259.83250000031</v>
      </c>
      <c r="I11" s="389">
        <f>'A3. Estimated Cash Flow Yr 3'!P42</f>
        <v>802340.25250000029</v>
      </c>
      <c r="J11" s="5">
        <f>B11</f>
        <v>1</v>
      </c>
      <c r="K11" s="5" t="s">
        <v>267</v>
      </c>
      <c r="L11" s="38"/>
      <c r="M11" s="412" t="s">
        <v>666</v>
      </c>
      <c r="N11" s="38"/>
    </row>
    <row r="12" spans="2:15" ht="16.95" customHeight="1" x14ac:dyDescent="0.25">
      <c r="B12" s="5">
        <v>2</v>
      </c>
      <c r="C12" s="37" t="s">
        <v>268</v>
      </c>
      <c r="D12" s="37"/>
      <c r="E12" s="5"/>
      <c r="F12" s="390">
        <v>0</v>
      </c>
      <c r="G12" s="390">
        <v>0</v>
      </c>
      <c r="H12" s="390">
        <v>0</v>
      </c>
      <c r="I12" s="390">
        <v>0</v>
      </c>
      <c r="J12" s="5">
        <f t="shared" ref="J12:J63" si="0">B12</f>
        <v>2</v>
      </c>
      <c r="K12" s="5" t="s">
        <v>269</v>
      </c>
      <c r="L12" s="23"/>
      <c r="M12" s="38"/>
      <c r="N12" s="38"/>
    </row>
    <row r="13" spans="2:15" ht="16.95" customHeight="1" x14ac:dyDescent="0.25">
      <c r="B13" s="5">
        <v>3</v>
      </c>
      <c r="C13" s="37" t="s">
        <v>270</v>
      </c>
      <c r="D13" s="37"/>
      <c r="E13" s="5"/>
      <c r="F13" s="390">
        <v>0</v>
      </c>
      <c r="G13" s="390">
        <v>0</v>
      </c>
      <c r="H13" s="390">
        <v>0</v>
      </c>
      <c r="I13" s="390">
        <v>0</v>
      </c>
      <c r="J13" s="5">
        <f t="shared" si="0"/>
        <v>3</v>
      </c>
      <c r="K13" s="5" t="s">
        <v>271</v>
      </c>
      <c r="L13" s="23"/>
      <c r="M13" s="412" t="s">
        <v>671</v>
      </c>
      <c r="N13" s="38"/>
    </row>
    <row r="14" spans="2:15" ht="16.95" customHeight="1" x14ac:dyDescent="0.25">
      <c r="B14" s="5">
        <v>4</v>
      </c>
      <c r="C14" s="37" t="s">
        <v>272</v>
      </c>
      <c r="D14" s="37"/>
      <c r="E14" s="5"/>
      <c r="F14" s="389">
        <v>0</v>
      </c>
      <c r="G14" s="389">
        <v>0</v>
      </c>
      <c r="H14" s="389">
        <v>0</v>
      </c>
      <c r="I14" s="389">
        <v>0</v>
      </c>
      <c r="J14" s="5">
        <f t="shared" si="0"/>
        <v>4</v>
      </c>
      <c r="K14" s="5" t="s">
        <v>273</v>
      </c>
      <c r="L14" s="23"/>
      <c r="M14" s="412" t="s">
        <v>672</v>
      </c>
      <c r="N14" s="38"/>
    </row>
    <row r="15" spans="2:15" ht="16.95" customHeight="1" x14ac:dyDescent="0.25">
      <c r="B15" s="5">
        <v>5</v>
      </c>
      <c r="C15" s="37" t="s">
        <v>274</v>
      </c>
      <c r="D15" s="37"/>
      <c r="E15" s="5"/>
      <c r="F15" s="389">
        <v>0</v>
      </c>
      <c r="G15" s="389">
        <v>0</v>
      </c>
      <c r="H15" s="389">
        <v>0</v>
      </c>
      <c r="I15" s="389">
        <v>0</v>
      </c>
      <c r="J15" s="5">
        <f t="shared" si="0"/>
        <v>5</v>
      </c>
      <c r="K15" s="5" t="s">
        <v>275</v>
      </c>
      <c r="L15" s="23"/>
      <c r="M15" s="412" t="s">
        <v>673</v>
      </c>
      <c r="N15" s="38"/>
    </row>
    <row r="16" spans="2:15" ht="16.95" customHeight="1" x14ac:dyDescent="0.25">
      <c r="B16" s="5">
        <v>6</v>
      </c>
      <c r="C16" s="37" t="s">
        <v>276</v>
      </c>
      <c r="D16" s="37"/>
      <c r="E16" s="5"/>
      <c r="F16" s="389">
        <v>0</v>
      </c>
      <c r="G16" s="389">
        <v>0</v>
      </c>
      <c r="H16" s="389">
        <v>0</v>
      </c>
      <c r="I16" s="389">
        <v>0</v>
      </c>
      <c r="J16" s="5">
        <f t="shared" si="0"/>
        <v>6</v>
      </c>
      <c r="K16" s="5" t="s">
        <v>277</v>
      </c>
      <c r="L16" s="23"/>
      <c r="M16" s="412" t="s">
        <v>674</v>
      </c>
      <c r="N16" s="38"/>
    </row>
    <row r="17" spans="2:14" ht="16.95" customHeight="1" x14ac:dyDescent="0.25">
      <c r="B17" s="5">
        <v>7</v>
      </c>
      <c r="C17" s="37" t="s">
        <v>278</v>
      </c>
      <c r="D17" s="37"/>
      <c r="E17" s="5"/>
      <c r="F17" s="389">
        <v>0</v>
      </c>
      <c r="G17" s="389">
        <v>0</v>
      </c>
      <c r="H17" s="389">
        <v>0</v>
      </c>
      <c r="I17" s="389">
        <v>0</v>
      </c>
      <c r="J17" s="5">
        <f t="shared" si="0"/>
        <v>7</v>
      </c>
      <c r="K17" s="5" t="s">
        <v>279</v>
      </c>
      <c r="L17" s="23"/>
      <c r="M17" s="38"/>
      <c r="N17" s="38"/>
    </row>
    <row r="18" spans="2:14" ht="16.95" customHeight="1" x14ac:dyDescent="0.25">
      <c r="B18" s="5">
        <v>8</v>
      </c>
      <c r="C18" s="5" t="s">
        <v>280</v>
      </c>
      <c r="D18" s="5"/>
      <c r="E18" s="5"/>
      <c r="F18" s="389">
        <v>0</v>
      </c>
      <c r="G18" s="389">
        <v>0</v>
      </c>
      <c r="H18" s="389">
        <v>0</v>
      </c>
      <c r="I18" s="389">
        <v>0</v>
      </c>
      <c r="J18" s="5">
        <f t="shared" si="0"/>
        <v>8</v>
      </c>
      <c r="K18" s="5" t="s">
        <v>281</v>
      </c>
      <c r="L18" s="23"/>
      <c r="M18" s="38"/>
      <c r="N18" s="38"/>
    </row>
    <row r="19" spans="2:14" ht="16.95" customHeight="1" x14ac:dyDescent="0.25">
      <c r="B19" s="5">
        <v>9</v>
      </c>
      <c r="C19" s="5" t="s">
        <v>282</v>
      </c>
      <c r="D19" s="5"/>
      <c r="E19" s="5"/>
      <c r="F19" s="389">
        <v>0</v>
      </c>
      <c r="G19" s="389">
        <v>0</v>
      </c>
      <c r="H19" s="389">
        <v>0</v>
      </c>
      <c r="I19" s="389">
        <v>0</v>
      </c>
      <c r="J19" s="5">
        <f t="shared" si="0"/>
        <v>9</v>
      </c>
      <c r="K19" s="23" t="s">
        <v>283</v>
      </c>
      <c r="L19" s="23"/>
      <c r="M19" s="38"/>
      <c r="N19" s="38"/>
    </row>
    <row r="20" spans="2:14" ht="16.95" customHeight="1" x14ac:dyDescent="0.25">
      <c r="B20" s="5">
        <v>10</v>
      </c>
      <c r="C20" s="5" t="s">
        <v>19</v>
      </c>
      <c r="D20" s="396"/>
      <c r="E20" s="5"/>
      <c r="F20" s="389">
        <v>0</v>
      </c>
      <c r="G20" s="389">
        <v>0</v>
      </c>
      <c r="H20" s="389">
        <v>0</v>
      </c>
      <c r="I20" s="389">
        <v>0</v>
      </c>
      <c r="J20" s="5">
        <f t="shared" si="0"/>
        <v>10</v>
      </c>
      <c r="K20" s="5" t="s">
        <v>20</v>
      </c>
      <c r="L20" s="23"/>
      <c r="M20" s="38"/>
      <c r="N20" s="38"/>
    </row>
    <row r="21" spans="2:14" ht="16.95" customHeight="1" x14ac:dyDescent="0.25">
      <c r="B21" s="5">
        <v>11</v>
      </c>
      <c r="C21" s="5" t="s">
        <v>19</v>
      </c>
      <c r="D21" s="396"/>
      <c r="E21" s="5"/>
      <c r="F21" s="389">
        <v>0</v>
      </c>
      <c r="G21" s="389">
        <v>0</v>
      </c>
      <c r="H21" s="389">
        <v>0</v>
      </c>
      <c r="I21" s="389">
        <v>0</v>
      </c>
      <c r="J21" s="5">
        <f t="shared" si="0"/>
        <v>11</v>
      </c>
      <c r="K21" s="5" t="s">
        <v>20</v>
      </c>
      <c r="L21" s="23"/>
      <c r="M21" s="38"/>
      <c r="N21" s="38"/>
    </row>
    <row r="22" spans="2:14" ht="16.95" customHeight="1" x14ac:dyDescent="0.25">
      <c r="B22" s="5">
        <v>12</v>
      </c>
      <c r="C22" s="33" t="s">
        <v>284</v>
      </c>
      <c r="D22" s="33"/>
      <c r="E22" s="5"/>
      <c r="F22" s="414">
        <f>SUM(F11:F21)</f>
        <v>86400.000000000087</v>
      </c>
      <c r="G22" s="414">
        <f t="shared" ref="G22:I22" si="1">SUM(G11:G21)</f>
        <v>209320.41250000012</v>
      </c>
      <c r="H22" s="414">
        <f t="shared" si="1"/>
        <v>451259.83250000031</v>
      </c>
      <c r="I22" s="414">
        <f t="shared" si="1"/>
        <v>802340.25250000029</v>
      </c>
      <c r="J22" s="5">
        <f t="shared" si="0"/>
        <v>12</v>
      </c>
      <c r="K22" s="397" t="s">
        <v>22</v>
      </c>
      <c r="L22" s="23"/>
      <c r="M22" s="38"/>
      <c r="N22" s="38"/>
    </row>
    <row r="23" spans="2:14" ht="16.95" customHeight="1" x14ac:dyDescent="0.25">
      <c r="B23" s="5"/>
      <c r="C23" s="33" t="s">
        <v>285</v>
      </c>
      <c r="D23" s="33"/>
      <c r="E23" s="5"/>
      <c r="F23" s="22"/>
      <c r="G23" s="22"/>
      <c r="H23" s="22"/>
      <c r="I23" s="22"/>
      <c r="J23" s="5"/>
      <c r="K23" s="5"/>
      <c r="L23" s="23"/>
      <c r="M23" s="38"/>
      <c r="N23" s="38"/>
    </row>
    <row r="24" spans="2:14" ht="16.95" customHeight="1" x14ac:dyDescent="0.25">
      <c r="B24" s="5"/>
      <c r="C24" s="398" t="s">
        <v>286</v>
      </c>
      <c r="D24" s="398"/>
      <c r="E24" s="5"/>
      <c r="F24" s="23"/>
      <c r="G24" s="23"/>
      <c r="H24" s="23"/>
      <c r="I24" s="23"/>
      <c r="J24" s="5"/>
      <c r="K24" s="5"/>
      <c r="L24" s="23"/>
      <c r="M24" s="38"/>
      <c r="N24" s="38"/>
    </row>
    <row r="25" spans="2:14" ht="16.95" customHeight="1" x14ac:dyDescent="0.25">
      <c r="B25" s="5">
        <v>13</v>
      </c>
      <c r="C25" s="399" t="s">
        <v>287</v>
      </c>
      <c r="D25" s="5"/>
      <c r="F25" s="389">
        <v>0</v>
      </c>
      <c r="G25" s="389">
        <v>0</v>
      </c>
      <c r="H25" s="389">
        <v>0</v>
      </c>
      <c r="I25" s="389">
        <v>0</v>
      </c>
      <c r="J25" s="5">
        <f t="shared" si="0"/>
        <v>13</v>
      </c>
      <c r="K25" s="131" t="s">
        <v>664</v>
      </c>
      <c r="L25" s="23"/>
      <c r="N25" s="38"/>
    </row>
    <row r="26" spans="2:14" ht="16.95" customHeight="1" x14ac:dyDescent="0.25">
      <c r="B26" s="5">
        <v>14</v>
      </c>
      <c r="C26" s="399" t="s">
        <v>288</v>
      </c>
      <c r="D26" s="5"/>
      <c r="F26" s="389"/>
      <c r="G26" s="389">
        <v>0</v>
      </c>
      <c r="H26" s="389">
        <v>0</v>
      </c>
      <c r="I26" s="389">
        <v>0</v>
      </c>
      <c r="J26" s="5">
        <f t="shared" si="0"/>
        <v>14</v>
      </c>
      <c r="K26" s="5" t="s">
        <v>289</v>
      </c>
      <c r="L26" s="23"/>
      <c r="M26" s="412"/>
      <c r="N26" s="38"/>
    </row>
    <row r="27" spans="2:14" ht="16.95" customHeight="1" x14ac:dyDescent="0.25">
      <c r="B27" s="5">
        <v>15</v>
      </c>
      <c r="C27" s="399" t="s">
        <v>290</v>
      </c>
      <c r="D27" s="5"/>
      <c r="F27" s="389">
        <v>0</v>
      </c>
      <c r="G27" s="389">
        <v>0</v>
      </c>
      <c r="H27" s="389">
        <v>0</v>
      </c>
      <c r="I27" s="389">
        <v>0</v>
      </c>
      <c r="J27" s="5">
        <f t="shared" si="0"/>
        <v>15</v>
      </c>
      <c r="K27" s="5" t="s">
        <v>291</v>
      </c>
      <c r="L27" s="23"/>
      <c r="M27" s="38"/>
      <c r="N27" s="38"/>
    </row>
    <row r="28" spans="2:14" ht="16.95" customHeight="1" x14ac:dyDescent="0.25">
      <c r="B28" s="5">
        <v>16</v>
      </c>
      <c r="C28" s="400" t="s">
        <v>292</v>
      </c>
      <c r="D28" s="37"/>
      <c r="F28" s="389">
        <v>0</v>
      </c>
      <c r="G28" s="389">
        <v>0</v>
      </c>
      <c r="H28" s="389">
        <v>0</v>
      </c>
      <c r="I28" s="389">
        <v>0</v>
      </c>
      <c r="J28" s="5">
        <f t="shared" si="0"/>
        <v>16</v>
      </c>
      <c r="K28" s="131" t="s">
        <v>293</v>
      </c>
      <c r="L28" s="23"/>
      <c r="M28" s="38"/>
      <c r="N28" s="38"/>
    </row>
    <row r="29" spans="2:14" ht="16.95" customHeight="1" x14ac:dyDescent="0.25">
      <c r="B29" s="5">
        <v>17</v>
      </c>
      <c r="C29" s="37" t="s">
        <v>294</v>
      </c>
      <c r="D29" s="37"/>
      <c r="E29" s="5"/>
      <c r="F29" s="35">
        <f>SUM(F25:F28)</f>
        <v>0</v>
      </c>
      <c r="G29" s="35">
        <f t="shared" ref="G29:I29" si="2">SUM(G25:G28)</f>
        <v>0</v>
      </c>
      <c r="H29" s="35">
        <f t="shared" si="2"/>
        <v>0</v>
      </c>
      <c r="I29" s="35">
        <f t="shared" si="2"/>
        <v>0</v>
      </c>
      <c r="J29" s="5">
        <f t="shared" si="0"/>
        <v>17</v>
      </c>
      <c r="K29" s="397" t="s">
        <v>22</v>
      </c>
      <c r="L29" s="23"/>
      <c r="M29" s="38"/>
      <c r="N29" s="38"/>
    </row>
    <row r="30" spans="2:14" ht="16.95" customHeight="1" x14ac:dyDescent="0.25">
      <c r="B30" s="5">
        <v>18</v>
      </c>
      <c r="C30" s="37" t="s">
        <v>295</v>
      </c>
      <c r="D30" s="37"/>
      <c r="E30" s="5"/>
      <c r="F30" s="389">
        <v>0</v>
      </c>
      <c r="G30" s="389">
        <v>0</v>
      </c>
      <c r="H30" s="389">
        <v>0</v>
      </c>
      <c r="I30" s="389">
        <v>0</v>
      </c>
      <c r="J30" s="5">
        <f t="shared" si="0"/>
        <v>18</v>
      </c>
      <c r="K30" s="5" t="s">
        <v>296</v>
      </c>
      <c r="L30" s="23"/>
      <c r="M30" s="38"/>
      <c r="N30" s="38"/>
    </row>
    <row r="31" spans="2:14" ht="16.95" customHeight="1" x14ac:dyDescent="0.25">
      <c r="B31" s="5">
        <v>19</v>
      </c>
      <c r="C31" s="37" t="s">
        <v>297</v>
      </c>
      <c r="D31" s="37"/>
      <c r="E31" s="5"/>
      <c r="F31" s="389">
        <v>0</v>
      </c>
      <c r="G31" s="389">
        <v>0</v>
      </c>
      <c r="H31" s="389">
        <v>0</v>
      </c>
      <c r="I31" s="389">
        <v>0</v>
      </c>
      <c r="J31" s="5">
        <f t="shared" si="0"/>
        <v>19</v>
      </c>
      <c r="K31" s="23" t="s">
        <v>298</v>
      </c>
      <c r="L31" s="23"/>
      <c r="M31" s="38"/>
      <c r="N31" s="38"/>
    </row>
    <row r="32" spans="2:14" ht="16.95" customHeight="1" x14ac:dyDescent="0.25">
      <c r="B32" s="5">
        <v>20</v>
      </c>
      <c r="C32" s="5" t="s">
        <v>19</v>
      </c>
      <c r="D32" s="396"/>
      <c r="E32" s="5"/>
      <c r="F32" s="389">
        <v>0</v>
      </c>
      <c r="G32" s="389">
        <v>0</v>
      </c>
      <c r="H32" s="389">
        <v>0</v>
      </c>
      <c r="I32" s="389">
        <v>0</v>
      </c>
      <c r="J32" s="5">
        <f t="shared" si="0"/>
        <v>20</v>
      </c>
      <c r="K32" s="5" t="s">
        <v>20</v>
      </c>
      <c r="L32" s="23"/>
      <c r="M32" s="38"/>
      <c r="N32" s="38"/>
    </row>
    <row r="33" spans="2:14" ht="16.95" customHeight="1" x14ac:dyDescent="0.25">
      <c r="B33" s="5">
        <v>21</v>
      </c>
      <c r="C33" s="5" t="s">
        <v>19</v>
      </c>
      <c r="D33" s="396"/>
      <c r="E33" s="5"/>
      <c r="F33" s="389">
        <v>0</v>
      </c>
      <c r="G33" s="389">
        <v>0</v>
      </c>
      <c r="H33" s="389">
        <v>0</v>
      </c>
      <c r="I33" s="389">
        <v>0</v>
      </c>
      <c r="J33" s="5">
        <f t="shared" si="0"/>
        <v>21</v>
      </c>
      <c r="K33" s="5" t="s">
        <v>20</v>
      </c>
      <c r="L33" s="23"/>
      <c r="M33" s="38"/>
      <c r="N33" s="38"/>
    </row>
    <row r="34" spans="2:14" ht="16.95" customHeight="1" x14ac:dyDescent="0.25">
      <c r="B34" s="5">
        <v>22</v>
      </c>
      <c r="C34" s="33" t="s">
        <v>299</v>
      </c>
      <c r="D34" s="33"/>
      <c r="E34" s="5"/>
      <c r="F34" s="31">
        <f>SUM(F29:F33)</f>
        <v>0</v>
      </c>
      <c r="G34" s="31">
        <f t="shared" ref="G34:I34" si="3">SUM(G29:G33)</f>
        <v>0</v>
      </c>
      <c r="H34" s="31">
        <f t="shared" si="3"/>
        <v>0</v>
      </c>
      <c r="I34" s="31">
        <f t="shared" si="3"/>
        <v>0</v>
      </c>
      <c r="J34" s="5">
        <f t="shared" si="0"/>
        <v>22</v>
      </c>
      <c r="K34" s="397" t="s">
        <v>22</v>
      </c>
      <c r="L34" s="23"/>
      <c r="M34" s="38"/>
      <c r="N34" s="38"/>
    </row>
    <row r="35" spans="2:14" ht="16.95" customHeight="1" x14ac:dyDescent="0.25">
      <c r="B35" s="5">
        <v>23</v>
      </c>
      <c r="C35" s="33" t="s">
        <v>300</v>
      </c>
      <c r="D35" s="33"/>
      <c r="F35" s="414">
        <f>SUM(F22,F34)</f>
        <v>86400.000000000087</v>
      </c>
      <c r="G35" s="414">
        <f t="shared" ref="G35:I35" si="4">SUM(G22,G34)</f>
        <v>209320.41250000012</v>
      </c>
      <c r="H35" s="414">
        <f t="shared" si="4"/>
        <v>451259.83250000031</v>
      </c>
      <c r="I35" s="414">
        <f t="shared" si="4"/>
        <v>802340.25250000029</v>
      </c>
      <c r="J35" s="5">
        <f t="shared" si="0"/>
        <v>23</v>
      </c>
      <c r="K35" s="397" t="s">
        <v>22</v>
      </c>
      <c r="L35" s="23"/>
      <c r="M35" s="38"/>
      <c r="N35" s="38"/>
    </row>
    <row r="36" spans="2:14" ht="16.95" customHeight="1" x14ac:dyDescent="0.25">
      <c r="B36" s="5"/>
      <c r="C36" s="5"/>
      <c r="D36" s="5"/>
      <c r="E36" s="5"/>
      <c r="F36" s="391"/>
      <c r="G36" s="391"/>
      <c r="H36" s="391"/>
      <c r="I36" s="391"/>
      <c r="J36" s="5"/>
      <c r="K36" s="33"/>
      <c r="L36" s="23"/>
      <c r="M36" s="38"/>
      <c r="N36" s="38"/>
    </row>
    <row r="37" spans="2:14" ht="16.95" customHeight="1" x14ac:dyDescent="0.25">
      <c r="B37" s="5"/>
      <c r="C37" s="33" t="s">
        <v>301</v>
      </c>
      <c r="D37" s="33"/>
      <c r="E37" s="5"/>
      <c r="F37" s="391"/>
      <c r="G37" s="391"/>
      <c r="H37" s="391"/>
      <c r="I37" s="391"/>
      <c r="J37" s="5"/>
      <c r="K37" s="5"/>
      <c r="L37" s="23"/>
      <c r="M37" s="38"/>
      <c r="N37" s="38"/>
    </row>
    <row r="38" spans="2:14" ht="16.95" customHeight="1" x14ac:dyDescent="0.25">
      <c r="B38" s="5"/>
      <c r="C38" s="33" t="s">
        <v>302</v>
      </c>
      <c r="D38" s="33"/>
      <c r="E38" s="5"/>
      <c r="F38" s="22"/>
      <c r="G38" s="22"/>
      <c r="H38" s="22"/>
      <c r="I38" s="22"/>
      <c r="J38" s="5"/>
      <c r="K38" s="5"/>
      <c r="L38" s="23"/>
      <c r="M38" s="38"/>
      <c r="N38" s="38"/>
    </row>
    <row r="39" spans="2:14" ht="16.95" customHeight="1" x14ac:dyDescent="0.25">
      <c r="B39" s="5">
        <v>24</v>
      </c>
      <c r="C39" s="37" t="s">
        <v>303</v>
      </c>
      <c r="D39" s="37"/>
      <c r="E39" s="5"/>
      <c r="F39" s="389">
        <v>0</v>
      </c>
      <c r="G39" s="389">
        <v>0</v>
      </c>
      <c r="H39" s="389">
        <v>0</v>
      </c>
      <c r="I39" s="389">
        <v>0</v>
      </c>
      <c r="J39" s="5">
        <f t="shared" si="0"/>
        <v>24</v>
      </c>
      <c r="K39" s="5" t="s">
        <v>304</v>
      </c>
      <c r="L39" s="23"/>
      <c r="M39" s="38"/>
      <c r="N39" s="38"/>
    </row>
    <row r="40" spans="2:14" ht="16.95" customHeight="1" x14ac:dyDescent="0.25">
      <c r="B40" s="5">
        <v>25</v>
      </c>
      <c r="C40" s="37" t="s">
        <v>305</v>
      </c>
      <c r="D40" s="37"/>
      <c r="E40" s="5"/>
      <c r="F40" s="389">
        <v>0</v>
      </c>
      <c r="G40" s="389">
        <v>0</v>
      </c>
      <c r="H40" s="389">
        <v>0</v>
      </c>
      <c r="I40" s="389">
        <v>0</v>
      </c>
      <c r="J40" s="5">
        <f t="shared" si="0"/>
        <v>25</v>
      </c>
      <c r="K40" s="5" t="s">
        <v>306</v>
      </c>
      <c r="L40" s="23"/>
      <c r="M40" s="412" t="s">
        <v>670</v>
      </c>
      <c r="N40" s="38"/>
    </row>
    <row r="41" spans="2:14" ht="16.95" customHeight="1" x14ac:dyDescent="0.25">
      <c r="B41" s="5">
        <v>26</v>
      </c>
      <c r="C41" s="5" t="s">
        <v>307</v>
      </c>
      <c r="D41" s="5"/>
      <c r="E41" s="37"/>
      <c r="F41" s="389">
        <v>0</v>
      </c>
      <c r="G41" s="389">
        <v>0</v>
      </c>
      <c r="H41" s="389">
        <v>0</v>
      </c>
      <c r="I41" s="389">
        <v>0</v>
      </c>
      <c r="J41" s="5">
        <f t="shared" si="0"/>
        <v>26</v>
      </c>
      <c r="K41" s="5" t="s">
        <v>308</v>
      </c>
      <c r="L41" s="23"/>
      <c r="M41" s="412" t="s">
        <v>667</v>
      </c>
      <c r="N41" s="38"/>
    </row>
    <row r="42" spans="2:14" ht="16.95" customHeight="1" x14ac:dyDescent="0.25">
      <c r="B42" s="5">
        <v>27</v>
      </c>
      <c r="C42" s="5" t="s">
        <v>309</v>
      </c>
      <c r="D42" s="5"/>
      <c r="E42" s="37"/>
      <c r="F42" s="389">
        <v>0</v>
      </c>
      <c r="G42" s="389">
        <v>0</v>
      </c>
      <c r="H42" s="389">
        <v>0</v>
      </c>
      <c r="I42" s="389">
        <v>0</v>
      </c>
      <c r="J42" s="5">
        <f t="shared" si="0"/>
        <v>27</v>
      </c>
      <c r="K42" s="5" t="s">
        <v>310</v>
      </c>
      <c r="L42" s="23"/>
      <c r="M42" s="38"/>
      <c r="N42" s="38"/>
    </row>
    <row r="43" spans="2:14" ht="16.95" customHeight="1" x14ac:dyDescent="0.25">
      <c r="B43" s="5">
        <v>28</v>
      </c>
      <c r="C43" s="5" t="s">
        <v>311</v>
      </c>
      <c r="D43" s="5"/>
      <c r="E43" s="33"/>
      <c r="F43" s="389">
        <v>0</v>
      </c>
      <c r="G43" s="389">
        <v>0</v>
      </c>
      <c r="H43" s="389">
        <v>0</v>
      </c>
      <c r="I43" s="389">
        <v>0</v>
      </c>
      <c r="J43" s="5">
        <f t="shared" si="0"/>
        <v>28</v>
      </c>
      <c r="K43" s="5" t="s">
        <v>312</v>
      </c>
      <c r="L43" s="5"/>
      <c r="M43" s="137" t="s">
        <v>668</v>
      </c>
    </row>
    <row r="44" spans="2:14" ht="16.95" customHeight="1" x14ac:dyDescent="0.25">
      <c r="B44" s="5">
        <v>29</v>
      </c>
      <c r="C44" s="37" t="s">
        <v>313</v>
      </c>
      <c r="D44" s="37"/>
      <c r="E44" s="5"/>
      <c r="F44" s="389">
        <v>0</v>
      </c>
      <c r="G44" s="389">
        <v>0</v>
      </c>
      <c r="H44" s="389">
        <v>0</v>
      </c>
      <c r="I44" s="389">
        <v>0</v>
      </c>
      <c r="J44" s="5">
        <f t="shared" si="0"/>
        <v>29</v>
      </c>
      <c r="K44" s="5" t="s">
        <v>314</v>
      </c>
      <c r="L44" s="5"/>
      <c r="M44" s="137" t="s">
        <v>669</v>
      </c>
    </row>
    <row r="45" spans="2:14" ht="16.95" customHeight="1" x14ac:dyDescent="0.25">
      <c r="B45" s="5">
        <v>30</v>
      </c>
      <c r="C45" s="5" t="s">
        <v>19</v>
      </c>
      <c r="D45" s="396"/>
      <c r="E45" s="5"/>
      <c r="F45" s="389">
        <v>0</v>
      </c>
      <c r="G45" s="389">
        <v>0</v>
      </c>
      <c r="H45" s="389">
        <v>0</v>
      </c>
      <c r="I45" s="389">
        <v>0</v>
      </c>
      <c r="J45" s="5">
        <f t="shared" si="0"/>
        <v>30</v>
      </c>
      <c r="K45" s="5" t="s">
        <v>20</v>
      </c>
      <c r="L45" s="5"/>
    </row>
    <row r="46" spans="2:14" ht="16.95" customHeight="1" x14ac:dyDescent="0.25">
      <c r="B46" s="5">
        <v>31</v>
      </c>
      <c r="C46" s="5" t="s">
        <v>19</v>
      </c>
      <c r="D46" s="396"/>
      <c r="E46" s="5"/>
      <c r="F46" s="389">
        <v>0</v>
      </c>
      <c r="G46" s="389">
        <v>0</v>
      </c>
      <c r="H46" s="389">
        <v>0</v>
      </c>
      <c r="I46" s="389">
        <v>0</v>
      </c>
      <c r="J46" s="5">
        <f t="shared" si="0"/>
        <v>31</v>
      </c>
      <c r="K46" s="5" t="s">
        <v>20</v>
      </c>
      <c r="L46" s="5"/>
    </row>
    <row r="47" spans="2:14" ht="16.95" customHeight="1" x14ac:dyDescent="0.25">
      <c r="B47" s="5">
        <v>32</v>
      </c>
      <c r="C47" s="33" t="s">
        <v>315</v>
      </c>
      <c r="D47" s="33"/>
      <c r="E47" s="33"/>
      <c r="F47" s="35">
        <f>SUM(F39:F46)</f>
        <v>0</v>
      </c>
      <c r="G47" s="35">
        <f t="shared" ref="G47:I47" si="5">SUM(G39:G46)</f>
        <v>0</v>
      </c>
      <c r="H47" s="35">
        <f t="shared" si="5"/>
        <v>0</v>
      </c>
      <c r="I47" s="35">
        <f t="shared" si="5"/>
        <v>0</v>
      </c>
      <c r="J47" s="5">
        <f t="shared" si="0"/>
        <v>32</v>
      </c>
      <c r="K47" s="397" t="s">
        <v>22</v>
      </c>
      <c r="L47" s="5"/>
    </row>
    <row r="48" spans="2:14" ht="16.95" customHeight="1" x14ac:dyDescent="0.25">
      <c r="B48" s="5"/>
      <c r="C48" s="33" t="s">
        <v>316</v>
      </c>
      <c r="D48" s="33"/>
      <c r="E48" s="5"/>
      <c r="F48" s="22"/>
      <c r="G48" s="22"/>
      <c r="H48" s="22"/>
      <c r="I48" s="22"/>
      <c r="J48" s="5"/>
      <c r="K48" s="5"/>
      <c r="L48" s="5"/>
    </row>
    <row r="49" spans="2:13" ht="16.95" customHeight="1" x14ac:dyDescent="0.25">
      <c r="B49" s="5">
        <v>33</v>
      </c>
      <c r="C49" s="37" t="s">
        <v>317</v>
      </c>
      <c r="D49" s="37"/>
      <c r="E49" s="5"/>
      <c r="F49" s="389"/>
      <c r="G49" s="389"/>
      <c r="H49" s="389"/>
      <c r="I49" s="389"/>
      <c r="J49" s="5">
        <f t="shared" si="0"/>
        <v>33</v>
      </c>
      <c r="K49" s="5" t="s">
        <v>318</v>
      </c>
      <c r="L49" s="5"/>
      <c r="M49" s="137" t="s">
        <v>669</v>
      </c>
    </row>
    <row r="50" spans="2:13" ht="16.95" customHeight="1" x14ac:dyDescent="0.25">
      <c r="B50" s="5">
        <v>34</v>
      </c>
      <c r="C50" s="37" t="s">
        <v>319</v>
      </c>
      <c r="D50" s="37"/>
      <c r="E50" s="5"/>
      <c r="F50" s="389">
        <v>0</v>
      </c>
      <c r="G50" s="389">
        <v>0</v>
      </c>
      <c r="H50" s="389">
        <v>0</v>
      </c>
      <c r="I50" s="389">
        <v>0</v>
      </c>
      <c r="J50" s="5">
        <f t="shared" si="0"/>
        <v>34</v>
      </c>
      <c r="K50" s="5" t="s">
        <v>320</v>
      </c>
      <c r="L50" s="5"/>
      <c r="M50" s="137" t="s">
        <v>668</v>
      </c>
    </row>
    <row r="51" spans="2:13" ht="16.95" customHeight="1" x14ac:dyDescent="0.25">
      <c r="B51" s="5">
        <v>35</v>
      </c>
      <c r="C51" s="5" t="s">
        <v>19</v>
      </c>
      <c r="D51" s="396"/>
      <c r="E51" s="5"/>
      <c r="F51" s="389">
        <v>0</v>
      </c>
      <c r="G51" s="389">
        <v>0</v>
      </c>
      <c r="H51" s="389">
        <v>0</v>
      </c>
      <c r="I51" s="389">
        <v>0</v>
      </c>
      <c r="J51" s="5">
        <f t="shared" si="0"/>
        <v>35</v>
      </c>
      <c r="K51" s="5" t="s">
        <v>20</v>
      </c>
      <c r="L51" s="5"/>
    </row>
    <row r="52" spans="2:13" ht="16.95" customHeight="1" x14ac:dyDescent="0.25">
      <c r="B52" s="5">
        <v>36</v>
      </c>
      <c r="C52" s="5" t="s">
        <v>19</v>
      </c>
      <c r="D52" s="396"/>
      <c r="E52" s="5"/>
      <c r="F52" s="389">
        <v>0</v>
      </c>
      <c r="G52" s="389">
        <v>0</v>
      </c>
      <c r="H52" s="389">
        <v>0</v>
      </c>
      <c r="I52" s="389">
        <v>0</v>
      </c>
      <c r="J52" s="5">
        <f t="shared" si="0"/>
        <v>36</v>
      </c>
      <c r="K52" s="5" t="s">
        <v>20</v>
      </c>
      <c r="L52" s="5"/>
    </row>
    <row r="53" spans="2:13" ht="16.95" customHeight="1" x14ac:dyDescent="0.25">
      <c r="B53" s="5">
        <v>37</v>
      </c>
      <c r="C53" s="33" t="s">
        <v>321</v>
      </c>
      <c r="D53" s="33"/>
      <c r="E53" s="33"/>
      <c r="F53" s="35">
        <f>SUM(F49:F52)</f>
        <v>0</v>
      </c>
      <c r="G53" s="35">
        <f t="shared" ref="G53:I53" si="6">SUM(G49:G52)</f>
        <v>0</v>
      </c>
      <c r="H53" s="35">
        <f t="shared" si="6"/>
        <v>0</v>
      </c>
      <c r="I53" s="35">
        <f t="shared" si="6"/>
        <v>0</v>
      </c>
      <c r="J53" s="5">
        <f t="shared" si="0"/>
        <v>37</v>
      </c>
      <c r="K53" s="397" t="s">
        <v>22</v>
      </c>
      <c r="L53" s="5"/>
    </row>
    <row r="54" spans="2:13" ht="16.95" customHeight="1" x14ac:dyDescent="0.25">
      <c r="B54" s="5">
        <v>38</v>
      </c>
      <c r="C54" s="33" t="s">
        <v>322</v>
      </c>
      <c r="D54" s="33"/>
      <c r="F54" s="35">
        <f>SUM(F47,F53)</f>
        <v>0</v>
      </c>
      <c r="G54" s="35">
        <f t="shared" ref="G54:I54" si="7">SUM(G47,G53)</f>
        <v>0</v>
      </c>
      <c r="H54" s="35">
        <f t="shared" si="7"/>
        <v>0</v>
      </c>
      <c r="I54" s="35">
        <f t="shared" si="7"/>
        <v>0</v>
      </c>
      <c r="J54" s="5">
        <f t="shared" si="0"/>
        <v>38</v>
      </c>
      <c r="K54" s="397" t="s">
        <v>22</v>
      </c>
      <c r="L54" s="5"/>
    </row>
    <row r="55" spans="2:13" ht="16.95" customHeight="1" x14ac:dyDescent="0.25">
      <c r="B55" s="5"/>
      <c r="C55" s="5"/>
      <c r="D55" s="5"/>
      <c r="E55" s="5"/>
      <c r="F55" s="5"/>
      <c r="G55" s="5"/>
      <c r="H55" s="5"/>
      <c r="I55" s="5"/>
      <c r="J55" s="5"/>
      <c r="K55" s="5"/>
      <c r="L55" s="5"/>
    </row>
    <row r="56" spans="2:13" ht="16.95" customHeight="1" x14ac:dyDescent="0.25">
      <c r="B56" s="5"/>
      <c r="C56" s="33" t="s">
        <v>323</v>
      </c>
      <c r="D56" s="33"/>
      <c r="E56" s="5"/>
      <c r="F56" s="5"/>
      <c r="G56" s="5"/>
      <c r="H56" s="5"/>
      <c r="I56" s="5"/>
      <c r="J56" s="5"/>
      <c r="K56" s="5"/>
      <c r="L56" s="5"/>
    </row>
    <row r="57" spans="2:13" ht="16.95" customHeight="1" x14ac:dyDescent="0.25">
      <c r="B57" s="5">
        <v>39</v>
      </c>
      <c r="C57" s="131" t="s">
        <v>324</v>
      </c>
      <c r="D57" s="5"/>
      <c r="E57" s="33"/>
      <c r="F57" s="389">
        <v>0</v>
      </c>
      <c r="G57" s="389">
        <v>0</v>
      </c>
      <c r="H57" s="389">
        <v>0</v>
      </c>
      <c r="I57" s="389">
        <v>0</v>
      </c>
      <c r="J57" s="5">
        <f t="shared" si="0"/>
        <v>39</v>
      </c>
      <c r="K57" s="5" t="s">
        <v>325</v>
      </c>
      <c r="L57" s="5"/>
    </row>
    <row r="58" spans="2:13" s="38" customFormat="1" ht="16.95" customHeight="1" x14ac:dyDescent="0.25">
      <c r="B58" s="23"/>
      <c r="C58" s="401" t="s">
        <v>326</v>
      </c>
      <c r="D58" s="23"/>
      <c r="E58" s="39"/>
      <c r="F58" s="23"/>
      <c r="G58" s="23"/>
      <c r="H58" s="23"/>
      <c r="I58" s="23"/>
      <c r="J58" s="5"/>
      <c r="K58" s="23"/>
      <c r="L58" s="23"/>
    </row>
    <row r="59" spans="2:13" ht="16.95" customHeight="1" x14ac:dyDescent="0.25">
      <c r="B59" s="5">
        <v>40</v>
      </c>
      <c r="C59" s="399" t="s">
        <v>327</v>
      </c>
      <c r="D59" s="396"/>
      <c r="E59" s="5"/>
      <c r="F59" s="389">
        <v>0</v>
      </c>
      <c r="G59" s="389">
        <v>0</v>
      </c>
      <c r="H59" s="389">
        <v>0</v>
      </c>
      <c r="I59" s="389">
        <v>0</v>
      </c>
      <c r="J59" s="5">
        <f t="shared" si="0"/>
        <v>40</v>
      </c>
      <c r="K59" s="5" t="s">
        <v>328</v>
      </c>
      <c r="L59" s="5"/>
      <c r="M59" s="137" t="s">
        <v>726</v>
      </c>
    </row>
    <row r="60" spans="2:13" ht="16.95" customHeight="1" x14ac:dyDescent="0.25">
      <c r="B60" s="5">
        <v>41</v>
      </c>
      <c r="C60" s="399" t="s">
        <v>329</v>
      </c>
      <c r="D60" s="396"/>
      <c r="E60" s="5"/>
      <c r="F60" s="389">
        <v>0</v>
      </c>
      <c r="G60" s="389">
        <v>0</v>
      </c>
      <c r="H60" s="389">
        <v>0</v>
      </c>
      <c r="I60" s="389">
        <v>0</v>
      </c>
      <c r="J60" s="5">
        <f t="shared" si="0"/>
        <v>41</v>
      </c>
      <c r="K60" s="5" t="s">
        <v>328</v>
      </c>
      <c r="L60" s="5"/>
      <c r="M60" s="137" t="s">
        <v>726</v>
      </c>
    </row>
    <row r="61" spans="2:13" ht="16.95" customHeight="1" x14ac:dyDescent="0.25">
      <c r="B61" s="5">
        <v>42</v>
      </c>
      <c r="C61" s="5" t="s">
        <v>330</v>
      </c>
      <c r="D61" s="23"/>
      <c r="E61" s="33"/>
      <c r="F61" s="389">
        <f>F35</f>
        <v>86400.000000000087</v>
      </c>
      <c r="G61" s="389">
        <f>G35</f>
        <v>209320.41250000012</v>
      </c>
      <c r="H61" s="389">
        <f>H35</f>
        <v>451259.83250000031</v>
      </c>
      <c r="I61" s="389">
        <f>I35</f>
        <v>802340.25250000029</v>
      </c>
      <c r="J61" s="5">
        <f t="shared" si="0"/>
        <v>42</v>
      </c>
      <c r="K61" s="5" t="s">
        <v>331</v>
      </c>
      <c r="L61" s="5"/>
    </row>
    <row r="62" spans="2:13" ht="16.95" customHeight="1" x14ac:dyDescent="0.25">
      <c r="B62" s="5">
        <v>43</v>
      </c>
      <c r="C62" s="33" t="s">
        <v>332</v>
      </c>
      <c r="D62" s="33"/>
      <c r="F62" s="35">
        <f>SUM(F57:F61)</f>
        <v>86400.000000000087</v>
      </c>
      <c r="G62" s="35">
        <f t="shared" ref="G62:I62" si="8">SUM(G57:G61)</f>
        <v>209320.41250000012</v>
      </c>
      <c r="H62" s="35">
        <f t="shared" si="8"/>
        <v>451259.83250000031</v>
      </c>
      <c r="I62" s="35">
        <f t="shared" si="8"/>
        <v>802340.25250000029</v>
      </c>
      <c r="J62" s="5">
        <f t="shared" si="0"/>
        <v>43</v>
      </c>
      <c r="K62" s="397" t="s">
        <v>46</v>
      </c>
      <c r="L62" s="5"/>
    </row>
    <row r="63" spans="2:13" ht="16.95" customHeight="1" x14ac:dyDescent="0.25">
      <c r="B63" s="5">
        <v>44</v>
      </c>
      <c r="C63" s="33" t="s">
        <v>333</v>
      </c>
      <c r="D63" s="5"/>
      <c r="F63" s="35">
        <f>+F54+F62</f>
        <v>86400.000000000087</v>
      </c>
      <c r="G63" s="35">
        <f t="shared" ref="G63:I63" si="9">+G54+G62</f>
        <v>209320.41250000012</v>
      </c>
      <c r="H63" s="35">
        <f t="shared" si="9"/>
        <v>451259.83250000031</v>
      </c>
      <c r="I63" s="35">
        <f t="shared" si="9"/>
        <v>802340.25250000029</v>
      </c>
      <c r="J63" s="5">
        <f t="shared" si="0"/>
        <v>44</v>
      </c>
      <c r="K63" s="397" t="s">
        <v>335</v>
      </c>
      <c r="L63" s="5"/>
    </row>
    <row r="64" spans="2:13" ht="16.95" customHeight="1" x14ac:dyDescent="0.25">
      <c r="B64" s="37"/>
      <c r="C64" s="402"/>
      <c r="D64" s="402"/>
      <c r="E64" s="5"/>
      <c r="F64" s="5"/>
      <c r="G64" s="5"/>
      <c r="H64" s="5"/>
      <c r="I64" s="5"/>
      <c r="J64" s="37"/>
      <c r="K64" s="33"/>
      <c r="L64" s="5"/>
    </row>
    <row r="65" spans="2:11" ht="16.95" customHeight="1" x14ac:dyDescent="0.25">
      <c r="B65" s="5"/>
      <c r="C65" s="5"/>
      <c r="D65" s="5"/>
      <c r="E65" s="5"/>
      <c r="F65" s="5"/>
      <c r="G65" s="5"/>
      <c r="H65" s="5"/>
      <c r="I65" s="5"/>
      <c r="J65" s="5"/>
      <c r="K65" s="5"/>
    </row>
    <row r="66" spans="2:11" ht="16.95" customHeight="1" x14ac:dyDescent="0.25">
      <c r="K66" s="5"/>
    </row>
    <row r="67" spans="2:11" ht="16.95" customHeight="1" x14ac:dyDescent="0.25">
      <c r="K67" s="5"/>
    </row>
    <row r="68" spans="2:11" ht="16.95" customHeight="1" x14ac:dyDescent="0.25">
      <c r="K68" s="5"/>
    </row>
    <row r="69" spans="2:11" ht="16.95" customHeight="1" x14ac:dyDescent="0.25">
      <c r="K69" s="5"/>
    </row>
    <row r="70" spans="2:11" ht="16.95" customHeight="1" x14ac:dyDescent="0.25">
      <c r="K70" s="5"/>
    </row>
    <row r="71" spans="2:11" ht="16.95" customHeight="1" x14ac:dyDescent="0.25">
      <c r="K71" s="5"/>
    </row>
    <row r="72" spans="2:11" ht="16.95" customHeight="1" x14ac:dyDescent="0.25">
      <c r="K72" s="5"/>
    </row>
    <row r="73" spans="2:11" ht="16.95" customHeight="1" x14ac:dyDescent="0.25">
      <c r="K73" s="5"/>
    </row>
    <row r="74" spans="2:11" ht="16.95" customHeight="1" x14ac:dyDescent="0.25">
      <c r="K74" s="5"/>
    </row>
    <row r="75" spans="2:11" ht="16.95" customHeight="1" x14ac:dyDescent="0.25">
      <c r="K75" s="5"/>
    </row>
    <row r="76" spans="2:11" ht="16.95" customHeight="1" x14ac:dyDescent="0.25">
      <c r="K76" s="5"/>
    </row>
    <row r="77" spans="2:11" ht="16.95" customHeight="1" x14ac:dyDescent="0.25">
      <c r="K77" s="5"/>
    </row>
    <row r="78" spans="2:11" ht="16.95" customHeight="1" x14ac:dyDescent="0.25">
      <c r="K78" s="5"/>
    </row>
    <row r="79" spans="2:11" ht="16.95" customHeight="1" x14ac:dyDescent="0.25">
      <c r="K79" s="5"/>
    </row>
  </sheetData>
  <mergeCells count="4">
    <mergeCell ref="C2:D2"/>
    <mergeCell ref="C3:D3"/>
    <mergeCell ref="C4:I4"/>
    <mergeCell ref="C5:I5"/>
  </mergeCells>
  <conditionalFormatting sqref="F63">
    <cfRule type="cellIs" dxfId="5" priority="3" stopIfTrue="1" operator="notEqual">
      <formula>#REF!</formula>
    </cfRule>
  </conditionalFormatting>
  <conditionalFormatting sqref="G63:I63">
    <cfRule type="cellIs" dxfId="4" priority="1" stopIfTrue="1" operator="notEqual">
      <formula>#REF!</formula>
    </cfRule>
  </conditionalFormatting>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L39"/>
  <sheetViews>
    <sheetView zoomScale="50" zoomScaleNormal="50" workbookViewId="0">
      <selection activeCell="K39" sqref="K39"/>
    </sheetView>
  </sheetViews>
  <sheetFormatPr defaultColWidth="14" defaultRowHeight="15" customHeight="1" x14ac:dyDescent="0.25"/>
  <cols>
    <col min="1" max="1" width="5.44140625" style="145" customWidth="1"/>
    <col min="2" max="2" width="5.44140625" style="385" customWidth="1"/>
    <col min="3" max="3" width="29.33203125" style="145" customWidth="1"/>
    <col min="4" max="4" width="20.109375" style="145" customWidth="1"/>
    <col min="5" max="5" width="5.33203125" style="145" customWidth="1"/>
    <col min="6" max="9" width="14" style="145"/>
    <col min="10" max="10" width="5.33203125" style="145" customWidth="1"/>
    <col min="11" max="11" width="64.109375" style="145" customWidth="1"/>
    <col min="12" max="16384" width="14" style="145"/>
  </cols>
  <sheetData>
    <row r="1" spans="2:11" ht="15" customHeight="1" thickBot="1" x14ac:dyDescent="0.3"/>
    <row r="2" spans="2:11" ht="15" customHeight="1" thickBot="1" x14ac:dyDescent="0.3">
      <c r="C2" s="493" t="s">
        <v>400</v>
      </c>
      <c r="D2" s="494"/>
    </row>
    <row r="3" spans="2:11" ht="15" customHeight="1" thickBot="1" x14ac:dyDescent="0.3">
      <c r="C3" s="495" t="s">
        <v>476</v>
      </c>
      <c r="D3" s="496"/>
      <c r="E3" s="255"/>
      <c r="F3" s="257" t="s">
        <v>404</v>
      </c>
      <c r="G3" s="257" t="s">
        <v>405</v>
      </c>
      <c r="H3" s="257" t="s">
        <v>406</v>
      </c>
      <c r="I3" s="257" t="s">
        <v>407</v>
      </c>
      <c r="K3" s="257" t="s">
        <v>475</v>
      </c>
    </row>
    <row r="4" spans="2:11" ht="15" customHeight="1" x14ac:dyDescent="0.25">
      <c r="B4" s="386" t="s">
        <v>3</v>
      </c>
      <c r="C4" s="323" t="s">
        <v>50</v>
      </c>
      <c r="D4" s="323" t="s">
        <v>475</v>
      </c>
      <c r="E4" s="256"/>
      <c r="F4" s="286" t="s">
        <v>334</v>
      </c>
      <c r="G4" s="286" t="s">
        <v>224</v>
      </c>
      <c r="H4" s="286" t="s">
        <v>259</v>
      </c>
      <c r="I4" s="286" t="s">
        <v>258</v>
      </c>
      <c r="K4" s="292" t="s">
        <v>590</v>
      </c>
    </row>
    <row r="5" spans="2:11" ht="15" customHeight="1" x14ac:dyDescent="0.25">
      <c r="E5" s="255"/>
    </row>
    <row r="6" spans="2:11" ht="15" customHeight="1" x14ac:dyDescent="0.25">
      <c r="B6" s="385">
        <v>111</v>
      </c>
      <c r="C6" s="145" t="s">
        <v>644</v>
      </c>
      <c r="D6" s="145" t="s">
        <v>477</v>
      </c>
      <c r="F6" s="2">
        <v>1000</v>
      </c>
      <c r="G6" s="2">
        <v>1000</v>
      </c>
      <c r="H6" s="2">
        <v>1000</v>
      </c>
      <c r="I6" s="2">
        <v>1000</v>
      </c>
      <c r="K6" s="145" t="s">
        <v>478</v>
      </c>
    </row>
    <row r="7" spans="2:11" ht="15" customHeight="1" x14ac:dyDescent="0.25">
      <c r="B7" s="385">
        <v>132</v>
      </c>
      <c r="C7" s="145" t="s">
        <v>479</v>
      </c>
      <c r="D7" s="145" t="s">
        <v>480</v>
      </c>
      <c r="F7" s="2">
        <v>0</v>
      </c>
      <c r="G7" s="2">
        <v>10000</v>
      </c>
      <c r="H7" s="2">
        <v>10000</v>
      </c>
      <c r="I7" s="2">
        <v>10000</v>
      </c>
      <c r="K7" s="145" t="s">
        <v>481</v>
      </c>
    </row>
    <row r="8" spans="2:11" ht="15" customHeight="1" x14ac:dyDescent="0.25">
      <c r="B8" s="385">
        <v>132</v>
      </c>
      <c r="C8" s="145" t="s">
        <v>479</v>
      </c>
      <c r="D8" s="145" t="s">
        <v>482</v>
      </c>
      <c r="F8" s="2">
        <v>0</v>
      </c>
      <c r="G8" s="2">
        <v>1500</v>
      </c>
      <c r="H8" s="2">
        <v>1500</v>
      </c>
      <c r="I8" s="2">
        <v>1500</v>
      </c>
      <c r="K8" s="145" t="s">
        <v>483</v>
      </c>
    </row>
    <row r="9" spans="2:11" ht="15" customHeight="1" x14ac:dyDescent="0.25">
      <c r="B9" s="385">
        <v>132</v>
      </c>
      <c r="C9" s="145" t="s">
        <v>479</v>
      </c>
      <c r="D9" s="145" t="s">
        <v>484</v>
      </c>
      <c r="F9" s="2">
        <v>0</v>
      </c>
      <c r="G9" s="2">
        <v>5000</v>
      </c>
      <c r="H9" s="2">
        <v>5000</v>
      </c>
      <c r="I9" s="2">
        <v>5000</v>
      </c>
      <c r="K9" s="145" t="s">
        <v>485</v>
      </c>
    </row>
    <row r="10" spans="2:11" ht="15" customHeight="1" x14ac:dyDescent="0.25">
      <c r="B10" s="385">
        <v>142</v>
      </c>
      <c r="C10" s="145" t="s">
        <v>486</v>
      </c>
      <c r="D10" s="145" t="s">
        <v>487</v>
      </c>
      <c r="F10" s="2">
        <v>0</v>
      </c>
      <c r="G10" s="2">
        <v>5000</v>
      </c>
      <c r="H10" s="2">
        <v>5000</v>
      </c>
      <c r="I10" s="2">
        <v>5000</v>
      </c>
      <c r="K10" s="145" t="s">
        <v>488</v>
      </c>
    </row>
    <row r="11" spans="2:11" ht="15" customHeight="1" x14ac:dyDescent="0.25">
      <c r="B11" s="385">
        <v>142</v>
      </c>
      <c r="C11" s="145" t="s">
        <v>486</v>
      </c>
      <c r="D11" s="145" t="s">
        <v>489</v>
      </c>
      <c r="F11" s="2">
        <v>2000</v>
      </c>
      <c r="G11" s="2">
        <v>10000</v>
      </c>
      <c r="H11" s="2">
        <v>10000</v>
      </c>
      <c r="I11" s="2">
        <v>10000</v>
      </c>
      <c r="K11" s="145" t="s">
        <v>490</v>
      </c>
    </row>
    <row r="12" spans="2:11" ht="15" customHeight="1" x14ac:dyDescent="0.25">
      <c r="B12" s="385">
        <v>162</v>
      </c>
      <c r="C12" s="145" t="s">
        <v>491</v>
      </c>
      <c r="D12" s="145" t="s">
        <v>492</v>
      </c>
      <c r="F12" s="2">
        <v>5000</v>
      </c>
      <c r="G12" s="2">
        <v>20000</v>
      </c>
      <c r="H12" s="2">
        <v>20000</v>
      </c>
      <c r="I12" s="2">
        <v>20000</v>
      </c>
      <c r="K12" s="145" t="s">
        <v>493</v>
      </c>
    </row>
    <row r="13" spans="2:11" ht="15" customHeight="1" x14ac:dyDescent="0.25">
      <c r="B13" s="385">
        <v>162</v>
      </c>
      <c r="C13" s="145" t="s">
        <v>491</v>
      </c>
      <c r="D13" s="145" t="s">
        <v>494</v>
      </c>
      <c r="F13" s="2">
        <v>5000</v>
      </c>
      <c r="G13" s="2">
        <v>5000</v>
      </c>
      <c r="H13" s="2">
        <v>5000</v>
      </c>
      <c r="I13" s="2">
        <v>5000</v>
      </c>
      <c r="K13" s="145" t="s">
        <v>495</v>
      </c>
    </row>
    <row r="14" spans="2:11" ht="15" customHeight="1" x14ac:dyDescent="0.25">
      <c r="B14" s="385">
        <v>162</v>
      </c>
      <c r="C14" s="145" t="s">
        <v>491</v>
      </c>
      <c r="D14" s="145" t="s">
        <v>594</v>
      </c>
      <c r="F14" s="2">
        <v>1000</v>
      </c>
      <c r="G14" s="2">
        <v>1000</v>
      </c>
      <c r="H14" s="2">
        <v>1000</v>
      </c>
      <c r="I14" s="2">
        <v>1000</v>
      </c>
      <c r="K14" s="145" t="s">
        <v>496</v>
      </c>
    </row>
    <row r="15" spans="2:11" ht="15" customHeight="1" x14ac:dyDescent="0.25">
      <c r="B15" s="385">
        <v>163</v>
      </c>
      <c r="C15" s="145" t="s">
        <v>491</v>
      </c>
      <c r="D15" s="145" t="s">
        <v>508</v>
      </c>
      <c r="F15" s="2">
        <v>1200</v>
      </c>
      <c r="G15" s="2">
        <v>2400</v>
      </c>
      <c r="H15" s="2">
        <v>2400</v>
      </c>
      <c r="I15" s="2">
        <v>2400</v>
      </c>
      <c r="K15" s="145" t="s">
        <v>634</v>
      </c>
    </row>
    <row r="16" spans="2:11" ht="15" customHeight="1" x14ac:dyDescent="0.25">
      <c r="B16" s="385">
        <v>184</v>
      </c>
      <c r="C16" s="145" t="s">
        <v>643</v>
      </c>
      <c r="D16" s="145" t="s">
        <v>505</v>
      </c>
      <c r="F16" s="2">
        <v>10000</v>
      </c>
      <c r="G16" s="2">
        <v>10000</v>
      </c>
      <c r="H16" s="2">
        <v>10000</v>
      </c>
      <c r="I16" s="2">
        <v>10000</v>
      </c>
      <c r="K16" s="145" t="s">
        <v>506</v>
      </c>
    </row>
    <row r="17" spans="2:12" ht="15" customHeight="1" x14ac:dyDescent="0.25">
      <c r="B17" s="385">
        <v>184</v>
      </c>
      <c r="C17" s="145" t="s">
        <v>643</v>
      </c>
      <c r="D17" s="145" t="s">
        <v>507</v>
      </c>
      <c r="F17" s="2">
        <v>5000</v>
      </c>
      <c r="G17" s="2">
        <v>5000</v>
      </c>
      <c r="H17" s="2">
        <v>5000</v>
      </c>
      <c r="I17" s="2">
        <v>5000</v>
      </c>
      <c r="K17" s="145" t="s">
        <v>595</v>
      </c>
    </row>
    <row r="18" spans="2:12" ht="15" customHeight="1" x14ac:dyDescent="0.25">
      <c r="B18" s="385">
        <v>184</v>
      </c>
      <c r="C18" s="145" t="s">
        <v>643</v>
      </c>
      <c r="D18" s="145" t="s">
        <v>597</v>
      </c>
      <c r="F18" s="2">
        <v>500</v>
      </c>
      <c r="G18" s="2">
        <v>1000</v>
      </c>
      <c r="H18" s="2">
        <v>1500</v>
      </c>
      <c r="I18" s="2">
        <v>2000</v>
      </c>
      <c r="K18" s="145" t="s">
        <v>598</v>
      </c>
    </row>
    <row r="19" spans="2:12" ht="15" customHeight="1" x14ac:dyDescent="0.25">
      <c r="B19" s="385">
        <v>243</v>
      </c>
      <c r="C19" s="145" t="s">
        <v>642</v>
      </c>
      <c r="D19" s="145" t="s">
        <v>477</v>
      </c>
      <c r="F19" s="2">
        <v>1000</v>
      </c>
      <c r="G19" s="2">
        <v>2000</v>
      </c>
      <c r="H19" s="2">
        <v>3000</v>
      </c>
      <c r="I19" s="2">
        <v>4000</v>
      </c>
      <c r="K19" s="145" t="s">
        <v>497</v>
      </c>
    </row>
    <row r="20" spans="2:12" ht="15" customHeight="1" x14ac:dyDescent="0.25">
      <c r="B20" s="385">
        <v>253</v>
      </c>
      <c r="C20" s="145" t="s">
        <v>641</v>
      </c>
      <c r="D20" s="145" t="s">
        <v>504</v>
      </c>
      <c r="F20" s="2">
        <v>0</v>
      </c>
      <c r="G20" s="2">
        <v>5000</v>
      </c>
      <c r="H20" s="2">
        <v>10000</v>
      </c>
      <c r="I20" s="2">
        <v>15000</v>
      </c>
      <c r="K20" s="145" t="s">
        <v>513</v>
      </c>
    </row>
    <row r="21" spans="2:12" ht="15" customHeight="1" x14ac:dyDescent="0.25">
      <c r="B21" s="385">
        <v>261</v>
      </c>
      <c r="C21" s="145" t="s">
        <v>640</v>
      </c>
      <c r="D21" s="145" t="s">
        <v>498</v>
      </c>
      <c r="F21" s="2">
        <v>25000</v>
      </c>
      <c r="G21" s="2">
        <v>25000</v>
      </c>
      <c r="H21" s="2">
        <v>25000</v>
      </c>
      <c r="I21" s="2">
        <v>25000</v>
      </c>
      <c r="K21" s="145" t="s">
        <v>620</v>
      </c>
      <c r="L21" s="208"/>
    </row>
    <row r="22" spans="2:12" ht="15" customHeight="1" x14ac:dyDescent="0.25">
      <c r="B22" s="385">
        <v>262</v>
      </c>
      <c r="C22" s="145" t="s">
        <v>640</v>
      </c>
      <c r="D22" s="145" t="s">
        <v>499</v>
      </c>
      <c r="F22" s="2">
        <v>1000</v>
      </c>
      <c r="G22" s="2">
        <v>5000</v>
      </c>
      <c r="H22" s="2">
        <v>10000</v>
      </c>
      <c r="I22" s="2">
        <v>15000</v>
      </c>
      <c r="K22" s="145" t="s">
        <v>500</v>
      </c>
    </row>
    <row r="23" spans="2:12" ht="15" customHeight="1" x14ac:dyDescent="0.25">
      <c r="B23" s="385">
        <v>263</v>
      </c>
      <c r="C23" s="145" t="s">
        <v>640</v>
      </c>
      <c r="D23" s="145" t="s">
        <v>502</v>
      </c>
      <c r="F23" s="2">
        <v>10000</v>
      </c>
      <c r="G23" s="2">
        <v>10000</v>
      </c>
      <c r="H23" s="2">
        <v>10000</v>
      </c>
      <c r="I23" s="2">
        <v>10000</v>
      </c>
      <c r="K23" s="145" t="s">
        <v>503</v>
      </c>
    </row>
    <row r="24" spans="2:12" ht="15" customHeight="1" x14ac:dyDescent="0.25">
      <c r="B24" s="385">
        <v>266</v>
      </c>
      <c r="C24" s="145" t="s">
        <v>640</v>
      </c>
      <c r="D24" s="145" t="s">
        <v>501</v>
      </c>
      <c r="F24" s="2">
        <v>20000</v>
      </c>
      <c r="G24" s="2">
        <v>15000</v>
      </c>
      <c r="H24" s="2">
        <v>15000</v>
      </c>
      <c r="I24" s="2">
        <v>15000</v>
      </c>
      <c r="K24" s="145" t="s">
        <v>368</v>
      </c>
    </row>
    <row r="25" spans="2:12" ht="15" customHeight="1" x14ac:dyDescent="0.25">
      <c r="B25" s="385">
        <v>268</v>
      </c>
      <c r="C25" s="145" t="s">
        <v>640</v>
      </c>
      <c r="D25" s="145" t="s">
        <v>630</v>
      </c>
      <c r="F25" s="2">
        <v>5000</v>
      </c>
      <c r="G25" s="2">
        <v>5000</v>
      </c>
      <c r="H25" s="2">
        <v>5000</v>
      </c>
      <c r="I25" s="2">
        <v>5000</v>
      </c>
      <c r="K25" s="145" t="s">
        <v>631</v>
      </c>
    </row>
    <row r="26" spans="2:12" ht="15" customHeight="1" x14ac:dyDescent="0.25">
      <c r="B26" s="385">
        <v>420</v>
      </c>
      <c r="C26" s="145" t="s">
        <v>645</v>
      </c>
      <c r="D26" s="145" t="s">
        <v>511</v>
      </c>
      <c r="F26" s="2">
        <v>0</v>
      </c>
      <c r="G26" s="2">
        <v>6000</v>
      </c>
      <c r="H26" s="2">
        <v>6000</v>
      </c>
      <c r="I26" s="2">
        <v>6000</v>
      </c>
      <c r="K26" s="145" t="s">
        <v>512</v>
      </c>
    </row>
    <row r="27" spans="2:12" ht="15" customHeight="1" x14ac:dyDescent="0.25">
      <c r="B27" s="385">
        <v>455</v>
      </c>
      <c r="C27" s="145" t="s">
        <v>645</v>
      </c>
      <c r="D27" s="145" t="s">
        <v>509</v>
      </c>
      <c r="F27" s="2">
        <v>2000</v>
      </c>
      <c r="G27" s="2">
        <v>12000</v>
      </c>
      <c r="H27" s="287">
        <v>12000</v>
      </c>
      <c r="I27" s="287">
        <v>12000</v>
      </c>
      <c r="K27" s="145" t="s">
        <v>510</v>
      </c>
    </row>
    <row r="28" spans="2:12" ht="15" customHeight="1" x14ac:dyDescent="0.25">
      <c r="B28" s="145"/>
      <c r="F28" s="1"/>
      <c r="G28" s="1"/>
      <c r="H28" s="1"/>
      <c r="I28" s="1"/>
    </row>
    <row r="29" spans="2:12" ht="15" customHeight="1" x14ac:dyDescent="0.25">
      <c r="B29" s="145"/>
      <c r="C29" s="288" t="s">
        <v>473</v>
      </c>
      <c r="D29" s="289"/>
      <c r="F29" s="290">
        <f>SUM(F6:F27)</f>
        <v>94700</v>
      </c>
      <c r="G29" s="290">
        <f>SUM(G6:G27)</f>
        <v>161900</v>
      </c>
      <c r="H29" s="290">
        <f>SUM(H6:H27)</f>
        <v>173400</v>
      </c>
      <c r="I29" s="290">
        <f>SUM(I6:I27)</f>
        <v>184900</v>
      </c>
    </row>
    <row r="30" spans="2:12" ht="15" customHeight="1" x14ac:dyDescent="0.25">
      <c r="B30" s="145"/>
      <c r="F30" s="1"/>
      <c r="G30" s="1"/>
      <c r="H30" s="1"/>
      <c r="I30" s="1"/>
    </row>
    <row r="31" spans="2:12" ht="15" customHeight="1" x14ac:dyDescent="0.25">
      <c r="B31" s="145"/>
      <c r="C31" s="291"/>
      <c r="D31" s="291"/>
      <c r="F31" s="231"/>
      <c r="G31" s="1"/>
      <c r="H31" s="1"/>
      <c r="I31" s="1"/>
    </row>
    <row r="32" spans="2:12" ht="15" customHeight="1" x14ac:dyDescent="0.25">
      <c r="B32" s="145"/>
      <c r="D32" s="1"/>
      <c r="E32" s="1"/>
      <c r="F32" s="52"/>
      <c r="G32" s="1"/>
      <c r="H32" s="1"/>
      <c r="I32" s="1"/>
    </row>
    <row r="33" spans="2:9" ht="15" customHeight="1" x14ac:dyDescent="0.25">
      <c r="B33" s="145"/>
      <c r="D33" s="1"/>
      <c r="E33" s="1"/>
      <c r="F33" s="1"/>
      <c r="G33" s="1"/>
      <c r="H33" s="1"/>
      <c r="I33" s="1"/>
    </row>
    <row r="34" spans="2:9" ht="15" customHeight="1" x14ac:dyDescent="0.25">
      <c r="B34" s="145"/>
      <c r="D34" s="1"/>
      <c r="E34" s="1"/>
      <c r="F34" s="1"/>
      <c r="G34" s="1"/>
      <c r="H34" s="1"/>
      <c r="I34" s="1"/>
    </row>
    <row r="35" spans="2:9" ht="15" customHeight="1" x14ac:dyDescent="0.25">
      <c r="B35" s="145"/>
      <c r="D35" s="1"/>
      <c r="E35" s="1"/>
      <c r="F35" s="1"/>
      <c r="G35" s="1"/>
      <c r="H35" s="1"/>
      <c r="I35" s="1"/>
    </row>
    <row r="36" spans="2:9" ht="15" customHeight="1" x14ac:dyDescent="0.25">
      <c r="B36" s="145"/>
      <c r="D36" s="1"/>
      <c r="E36" s="1"/>
      <c r="F36" s="1"/>
      <c r="G36" s="1"/>
      <c r="H36" s="1"/>
      <c r="I36" s="1"/>
    </row>
    <row r="37" spans="2:9" ht="15" customHeight="1" x14ac:dyDescent="0.25">
      <c r="B37" s="145"/>
      <c r="D37" s="1"/>
      <c r="E37" s="1"/>
      <c r="F37" s="1"/>
      <c r="G37" s="1"/>
      <c r="H37" s="1"/>
      <c r="I37" s="1"/>
    </row>
    <row r="38" spans="2:9" ht="15" customHeight="1" x14ac:dyDescent="0.25">
      <c r="B38" s="145"/>
      <c r="C38" s="292"/>
      <c r="D38" s="52"/>
      <c r="E38" s="1"/>
      <c r="F38" s="1"/>
      <c r="G38" s="1"/>
      <c r="H38" s="1"/>
      <c r="I38" s="1"/>
    </row>
    <row r="39" spans="2:9" ht="15" customHeight="1" x14ac:dyDescent="0.25">
      <c r="B39" s="145"/>
      <c r="F39" s="1"/>
      <c r="G39" s="1"/>
      <c r="H39" s="1"/>
      <c r="I39" s="1"/>
    </row>
  </sheetData>
  <mergeCells count="2">
    <mergeCell ref="C2:D2"/>
    <mergeCell ref="C3:D3"/>
  </mergeCells>
  <pageMargins left="0.75" right="0.75" top="1" bottom="1" header="0.5" footer="0.5"/>
  <pageSetup orientation="portrait" horizontalDpi="4294967292" verticalDpi="4294967292" r:id="rId1"/>
  <ignoredErrors>
    <ignoredError sqref="F29:I29" emptyCellReferenc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A1. BudgetSumm</vt:lpstr>
      <vt:lpstr>A2. Bgt_FuncExp</vt:lpstr>
      <vt:lpstr>Budget Narrative</vt:lpstr>
      <vt:lpstr>A3. Estimated Cash Flow Yr 0</vt:lpstr>
      <vt:lpstr>A3. Estimated Cash Flow Yr 1</vt:lpstr>
      <vt:lpstr>A3. Estimated Cash Flow Yr 2</vt:lpstr>
      <vt:lpstr>A3. Estimated Cash Flow Yr 3</vt:lpstr>
      <vt:lpstr>A4. Balance Sheet</vt:lpstr>
      <vt:lpstr>Cash Paid to Vendors</vt:lpstr>
      <vt:lpstr>Personnel Breakout</vt:lpstr>
      <vt:lpstr>Funding Pool</vt:lpstr>
      <vt:lpstr>Sensitivity Model</vt:lpstr>
      <vt:lpstr>'Sensitivity Model'!D1_</vt:lpstr>
      <vt:lpstr>D1_</vt:lpstr>
      <vt:lpstr>'A1. BudgetSumm'!Print_Area</vt:lpstr>
      <vt:lpstr>'A2. Bgt_FuncExp'!Print_Area</vt:lpstr>
      <vt:lpstr>'A3. Estimated Cash Flow Yr 0'!Print_Area</vt:lpstr>
      <vt:lpstr>'A3. Estimated Cash Flow Yr 1'!Print_Area</vt:lpstr>
      <vt:lpstr>'A3. Estimated Cash Flow Yr 2'!Print_Area</vt:lpstr>
      <vt:lpstr>'A3. Estimated Cash Flow Yr 3'!Print_Area</vt:lpstr>
      <vt:lpstr>'A4. Balance Sheet'!Print_Area</vt:lpstr>
      <vt:lpstr>'Cash Paid to Vendors'!Print_Area</vt:lpstr>
      <vt:lpstr>'Funding Pool'!Print_Area</vt:lpstr>
      <vt:lpstr>'Personnel Breakout'!Print_Area</vt:lpstr>
      <vt:lpstr>'Sensitivity Model'!Print_Area</vt:lpstr>
      <vt:lpstr>'A2. Bgt_FuncExp'!Print_Titles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Roberts</dc:creator>
  <cp:lastModifiedBy>Lauren Endo</cp:lastModifiedBy>
  <cp:lastPrinted>2017-04-04T03:00:58Z</cp:lastPrinted>
  <dcterms:created xsi:type="dcterms:W3CDTF">2013-03-29T01:46:51Z</dcterms:created>
  <dcterms:modified xsi:type="dcterms:W3CDTF">2017-04-04T03:04:32Z</dcterms:modified>
</cp:coreProperties>
</file>